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X:\ERASMUS+PROXECTOS\02. KA2\02. Desarrollo de Capacidades\2019\Coordinados\02. MIETC\04. WPs\WP1. Management\1.2. Financial Management and administration\"/>
    </mc:Choice>
  </mc:AlternateContent>
  <xr:revisionPtr revIDLastSave="0" documentId="13_ncr:1_{F1506D20-C955-4A64-A2C4-96EFC245F0B8}" xr6:coauthVersionLast="47" xr6:coauthVersionMax="47" xr10:uidLastSave="{00000000-0000-0000-0000-000000000000}"/>
  <bookViews>
    <workbookView xWindow="-120" yWindow="-120" windowWidth="29040" windowHeight="15840" tabRatio="791" activeTab="5" xr2:uid="{00000000-000D-0000-FFFF-FFFF00000000}"/>
  </bookViews>
  <sheets>
    <sheet name="Overview" sheetId="1" r:id="rId1"/>
    <sheet name="Staff Costs" sheetId="3" r:id="rId2"/>
    <sheet name="Travel&amp;Costs of Stay" sheetId="2" r:id="rId3"/>
    <sheet name="Equipment" sheetId="4" r:id="rId4"/>
    <sheet name="Subcontracting" sheetId="5" r:id="rId5"/>
    <sheet name="Data" sheetId="7" r:id="rId6"/>
    <sheet name="Summary Staff Costs" sheetId="1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8" i="1" l="1"/>
  <c r="AA18" i="1"/>
  <c r="AA17" i="1"/>
  <c r="AA5" i="1"/>
  <c r="AA6" i="1"/>
  <c r="AA7" i="1"/>
  <c r="AA8" i="1"/>
  <c r="AA9" i="1"/>
  <c r="AA10" i="1"/>
  <c r="AA11" i="1"/>
  <c r="AA12" i="1"/>
  <c r="AA13" i="1"/>
  <c r="AA14" i="1"/>
  <c r="AA15" i="1"/>
  <c r="AA16" i="1"/>
  <c r="AA4" i="1"/>
  <c r="Z8" i="1"/>
  <c r="Z9" i="1"/>
  <c r="Z10" i="1"/>
  <c r="Z11" i="1"/>
  <c r="Z12" i="1"/>
  <c r="Z13" i="1"/>
  <c r="Z14" i="1"/>
  <c r="Z4" i="1"/>
  <c r="X10" i="1"/>
  <c r="X11" i="1"/>
  <c r="X12" i="1"/>
  <c r="X13" i="1"/>
  <c r="X14" i="1"/>
  <c r="X8" i="1"/>
  <c r="Y17" i="1"/>
  <c r="Y16" i="1"/>
  <c r="Y15" i="1"/>
  <c r="Y14" i="1"/>
  <c r="Y13" i="1"/>
  <c r="Y12" i="1"/>
  <c r="Y11" i="1"/>
  <c r="Y10" i="1"/>
  <c r="Y9" i="1"/>
  <c r="Y8" i="1"/>
  <c r="Y7" i="1"/>
  <c r="Y6" i="1"/>
  <c r="Y5" i="1"/>
  <c r="Y4" i="1"/>
  <c r="W17" i="1"/>
  <c r="W16" i="1"/>
  <c r="W15" i="1"/>
  <c r="W14" i="1"/>
  <c r="W13" i="1"/>
  <c r="W12" i="1"/>
  <c r="W11" i="1"/>
  <c r="W10" i="1"/>
  <c r="W9" i="1"/>
  <c r="W8" i="1"/>
  <c r="W7" i="1"/>
  <c r="W6" i="1"/>
  <c r="W5" i="1"/>
  <c r="W4" i="1"/>
  <c r="W18" i="1" s="1"/>
  <c r="X18" i="1" s="1"/>
  <c r="T5" i="1"/>
  <c r="T6" i="1"/>
  <c r="T7" i="1"/>
  <c r="T8" i="1"/>
  <c r="T9" i="1"/>
  <c r="T10" i="1"/>
  <c r="T11" i="1"/>
  <c r="T12" i="1"/>
  <c r="T13" i="1"/>
  <c r="T14" i="1"/>
  <c r="T15" i="1"/>
  <c r="T16" i="1"/>
  <c r="T17" i="1"/>
  <c r="V5" i="1"/>
  <c r="V6" i="1"/>
  <c r="V7" i="1"/>
  <c r="V8" i="1"/>
  <c r="V9" i="1"/>
  <c r="V10" i="1"/>
  <c r="V11" i="1"/>
  <c r="V12" i="1"/>
  <c r="V13" i="1"/>
  <c r="V14" i="1"/>
  <c r="V15" i="1"/>
  <c r="V16" i="1"/>
  <c r="V17" i="1"/>
  <c r="V4" i="1"/>
  <c r="Z18" i="1"/>
  <c r="V18" i="1"/>
  <c r="T18" i="1"/>
  <c r="U18" i="1"/>
  <c r="S18" i="1"/>
  <c r="U17" i="1"/>
  <c r="U16" i="1"/>
  <c r="U15" i="1"/>
  <c r="U14" i="1"/>
  <c r="U13" i="1"/>
  <c r="U12" i="1"/>
  <c r="U11" i="1"/>
  <c r="U10" i="1"/>
  <c r="U9" i="1"/>
  <c r="U8" i="1"/>
  <c r="U7" i="1"/>
  <c r="U6" i="1"/>
  <c r="U5" i="1"/>
  <c r="U4" i="1"/>
  <c r="S17" i="1"/>
  <c r="S16" i="1"/>
  <c r="S15" i="1"/>
  <c r="S14" i="1"/>
  <c r="S13" i="1"/>
  <c r="S12" i="1"/>
  <c r="S11" i="1"/>
  <c r="S10" i="1"/>
  <c r="S9" i="1"/>
  <c r="S8" i="1"/>
  <c r="S7" i="1"/>
  <c r="S6" i="1"/>
  <c r="S5" i="1"/>
  <c r="S4" i="1"/>
  <c r="T4" i="1"/>
  <c r="R18" i="1"/>
  <c r="R5" i="1"/>
  <c r="R6" i="1"/>
  <c r="R7" i="1"/>
  <c r="R8" i="1"/>
  <c r="R9" i="1"/>
  <c r="R10" i="1"/>
  <c r="R11" i="1"/>
  <c r="R12" i="1"/>
  <c r="R13" i="1"/>
  <c r="R14" i="1"/>
  <c r="R15" i="1"/>
  <c r="R16" i="1"/>
  <c r="R17" i="1"/>
  <c r="Q5" i="1"/>
  <c r="Q6" i="1"/>
  <c r="Q7" i="1"/>
  <c r="Q8" i="1"/>
  <c r="Q18" i="1" s="1"/>
  <c r="Q9" i="1"/>
  <c r="Q10" i="1"/>
  <c r="Q11" i="1"/>
  <c r="Q12" i="1"/>
  <c r="Q13" i="1"/>
  <c r="Q14" i="1"/>
  <c r="Q15" i="1"/>
  <c r="Q16" i="1"/>
  <c r="Q17" i="1"/>
  <c r="R4" i="1"/>
  <c r="Q4" i="1"/>
  <c r="V35" i="1"/>
  <c r="V34" i="1"/>
  <c r="V33" i="1"/>
  <c r="V32" i="1"/>
  <c r="V31" i="1"/>
  <c r="V30" i="1"/>
  <c r="V29" i="1"/>
  <c r="V28" i="1"/>
  <c r="V27" i="1"/>
  <c r="V26" i="1"/>
  <c r="V25" i="1"/>
  <c r="V24" i="1"/>
  <c r="V23" i="1"/>
  <c r="V22" i="1"/>
  <c r="J3" i="13"/>
  <c r="J4" i="13"/>
  <c r="J5" i="13"/>
  <c r="J6" i="13"/>
  <c r="J7" i="13"/>
  <c r="J8" i="13"/>
  <c r="J9" i="13"/>
  <c r="J10" i="13"/>
  <c r="J11" i="13"/>
  <c r="J12" i="13"/>
  <c r="J13" i="13"/>
  <c r="J14" i="13"/>
  <c r="J15" i="13"/>
  <c r="J16" i="13"/>
  <c r="L367" i="3"/>
  <c r="M100" i="3"/>
  <c r="M101" i="3"/>
  <c r="M102" i="3"/>
  <c r="M103" i="3"/>
  <c r="M9" i="5" l="1"/>
  <c r="M5" i="5"/>
  <c r="M6" i="5"/>
  <c r="M7" i="5"/>
  <c r="M8" i="5"/>
  <c r="M4" i="5"/>
  <c r="M29" i="3" l="1"/>
  <c r="N29" i="3" s="1"/>
  <c r="M30" i="3"/>
  <c r="N30" i="3" s="1"/>
  <c r="M31" i="3"/>
  <c r="N31" i="3" s="1"/>
  <c r="M32" i="3"/>
  <c r="N32" i="3" s="1"/>
  <c r="M33" i="3"/>
  <c r="N33" i="3" s="1"/>
  <c r="M34" i="3"/>
  <c r="N34" i="3" s="1"/>
  <c r="M35" i="3"/>
  <c r="N35" i="3" s="1"/>
  <c r="M36" i="3"/>
  <c r="N36" i="3" s="1"/>
  <c r="M37" i="3"/>
  <c r="N37" i="3" s="1"/>
  <c r="O17" i="2"/>
  <c r="O18" i="2"/>
  <c r="O37" i="2"/>
  <c r="O38" i="2"/>
  <c r="O39" i="2"/>
  <c r="O40" i="2"/>
  <c r="M343" i="3"/>
  <c r="N343" i="3" s="1"/>
  <c r="M344" i="3"/>
  <c r="N344" i="3" s="1"/>
  <c r="M345" i="3"/>
  <c r="N345" i="3" s="1"/>
  <c r="M346" i="3"/>
  <c r="N346" i="3" s="1"/>
  <c r="M347" i="3"/>
  <c r="N347" i="3" s="1"/>
  <c r="M348" i="3"/>
  <c r="N348" i="3" s="1"/>
  <c r="M349" i="3"/>
  <c r="N349" i="3" s="1"/>
  <c r="M40" i="3"/>
  <c r="N40" i="3" s="1"/>
  <c r="M41" i="3"/>
  <c r="N41" i="3" s="1"/>
  <c r="M42" i="3"/>
  <c r="N42" i="3" s="1"/>
  <c r="M43" i="3"/>
  <c r="N43" i="3" s="1"/>
  <c r="M44" i="3"/>
  <c r="N44" i="3" s="1"/>
  <c r="M45" i="3"/>
  <c r="N45" i="3" s="1"/>
  <c r="M46" i="3"/>
  <c r="N46" i="3" s="1"/>
  <c r="M47" i="3"/>
  <c r="N47" i="3" s="1"/>
  <c r="M48" i="3"/>
  <c r="N48" i="3" s="1"/>
  <c r="M49" i="3"/>
  <c r="N49" i="3" s="1"/>
  <c r="M50" i="3"/>
  <c r="N50" i="3" s="1"/>
  <c r="M51" i="3"/>
  <c r="N51" i="3" s="1"/>
  <c r="M52" i="3"/>
  <c r="N52" i="3" s="1"/>
  <c r="M53" i="3"/>
  <c r="N53" i="3" s="1"/>
  <c r="M54" i="3"/>
  <c r="N54" i="3" s="1"/>
  <c r="M55" i="3"/>
  <c r="N55" i="3" s="1"/>
  <c r="M56" i="3"/>
  <c r="N56" i="3" s="1"/>
  <c r="M208" i="3"/>
  <c r="N208" i="3" s="1"/>
  <c r="M209" i="3"/>
  <c r="N209" i="3" s="1"/>
  <c r="M210" i="3"/>
  <c r="N210" i="3" s="1"/>
  <c r="M211" i="3"/>
  <c r="N211" i="3" s="1"/>
  <c r="M212" i="3"/>
  <c r="N212" i="3" s="1"/>
  <c r="M213" i="3"/>
  <c r="N213" i="3" s="1"/>
  <c r="M214" i="3"/>
  <c r="N214" i="3" s="1"/>
  <c r="M215" i="3"/>
  <c r="N215" i="3" s="1"/>
  <c r="N103" i="3"/>
  <c r="N100" i="3"/>
  <c r="N101" i="3"/>
  <c r="N102" i="3"/>
  <c r="O32" i="2"/>
  <c r="O33" i="2"/>
  <c r="O34" i="2"/>
  <c r="O45" i="2"/>
  <c r="O46" i="2"/>
  <c r="O47" i="2"/>
  <c r="M69" i="3"/>
  <c r="N69" i="3" s="1"/>
  <c r="M70" i="3"/>
  <c r="N70" i="3" s="1"/>
  <c r="M71" i="3"/>
  <c r="N71" i="3" s="1"/>
  <c r="M72" i="3"/>
  <c r="N72" i="3" s="1"/>
  <c r="M73" i="3"/>
  <c r="N73" i="3" s="1"/>
  <c r="M74" i="3"/>
  <c r="N74" i="3" s="1"/>
  <c r="O6" i="2"/>
  <c r="O7" i="2"/>
  <c r="O8" i="2"/>
  <c r="O9" i="2"/>
  <c r="O10" i="2"/>
  <c r="O3" i="2"/>
  <c r="O50" i="2"/>
  <c r="O52" i="2"/>
  <c r="O29" i="2"/>
  <c r="O28" i="2"/>
  <c r="O27" i="2"/>
  <c r="M128" i="3" l="1"/>
  <c r="N128" i="3" s="1"/>
  <c r="M129" i="3"/>
  <c r="N129" i="3" s="1"/>
  <c r="M130" i="3"/>
  <c r="N130" i="3" s="1"/>
  <c r="M131" i="3"/>
  <c r="N131" i="3" s="1"/>
  <c r="M132" i="3"/>
  <c r="N132" i="3" s="1"/>
  <c r="M133" i="3"/>
  <c r="N133" i="3" s="1"/>
  <c r="M134" i="3"/>
  <c r="N134" i="3" s="1"/>
  <c r="M239" i="3"/>
  <c r="N239" i="3" s="1"/>
  <c r="M240" i="3"/>
  <c r="N240" i="3" s="1"/>
  <c r="M241" i="3"/>
  <c r="N241" i="3" s="1"/>
  <c r="M235" i="3"/>
  <c r="N235" i="3" s="1"/>
  <c r="M236" i="3"/>
  <c r="N236" i="3" s="1"/>
  <c r="M237" i="3"/>
  <c r="N237" i="3" s="1"/>
  <c r="M238" i="3"/>
  <c r="N238" i="3" s="1"/>
  <c r="M361" i="3"/>
  <c r="M360" i="3"/>
  <c r="M198" i="3"/>
  <c r="M197" i="3"/>
  <c r="M196" i="3"/>
  <c r="M195" i="3"/>
  <c r="M194" i="3"/>
  <c r="M193" i="3"/>
  <c r="M192" i="3"/>
  <c r="M191" i="3"/>
  <c r="M190" i="3"/>
  <c r="M189" i="3"/>
  <c r="M188" i="3"/>
  <c r="M187" i="3"/>
  <c r="M306" i="3"/>
  <c r="N306" i="3" s="1"/>
  <c r="M293" i="3"/>
  <c r="N293" i="3" s="1"/>
  <c r="M294" i="3"/>
  <c r="N294" i="3" s="1"/>
  <c r="M295" i="3"/>
  <c r="N295" i="3" s="1"/>
  <c r="M296" i="3"/>
  <c r="N296" i="3" s="1"/>
  <c r="M297" i="3"/>
  <c r="N297" i="3" s="1"/>
  <c r="M298" i="3"/>
  <c r="N298" i="3" s="1"/>
  <c r="M299" i="3"/>
  <c r="N299" i="3" s="1"/>
  <c r="M300" i="3"/>
  <c r="N300" i="3" s="1"/>
  <c r="M301" i="3"/>
  <c r="N301" i="3" s="1"/>
  <c r="M302" i="3"/>
  <c r="N302" i="3" s="1"/>
  <c r="M303" i="3"/>
  <c r="N303" i="3" s="1"/>
  <c r="M304" i="3"/>
  <c r="N304" i="3" s="1"/>
  <c r="M305" i="3"/>
  <c r="N305" i="3" s="1"/>
  <c r="N196" i="3" l="1"/>
  <c r="N197" i="3"/>
  <c r="N198" i="3"/>
  <c r="N191" i="3" l="1"/>
  <c r="N192" i="3"/>
  <c r="N193" i="3"/>
  <c r="N194" i="3"/>
  <c r="M186" i="3" l="1"/>
  <c r="N186" i="3" s="1"/>
  <c r="N361" i="3" l="1"/>
  <c r="N360" i="3" l="1"/>
  <c r="N187" i="3"/>
  <c r="N188" i="3"/>
  <c r="N189" i="3"/>
  <c r="N190" i="3"/>
  <c r="N195" i="3"/>
  <c r="X34" i="13" l="1"/>
  <c r="V34" i="13"/>
  <c r="T34" i="13"/>
  <c r="R34" i="13"/>
  <c r="P34" i="13"/>
  <c r="X33" i="13"/>
  <c r="V33" i="13"/>
  <c r="T33" i="13"/>
  <c r="R33" i="13"/>
  <c r="P33" i="13"/>
  <c r="X32" i="13"/>
  <c r="V32" i="13"/>
  <c r="T32" i="13"/>
  <c r="R32" i="13"/>
  <c r="P32" i="13"/>
  <c r="X31" i="13"/>
  <c r="V31" i="13"/>
  <c r="T31" i="13"/>
  <c r="R31" i="13"/>
  <c r="P31" i="13"/>
  <c r="X30" i="13"/>
  <c r="V30" i="13"/>
  <c r="T30" i="13"/>
  <c r="R30" i="13"/>
  <c r="P30" i="13"/>
  <c r="X29" i="13"/>
  <c r="V29" i="13"/>
  <c r="T29" i="13"/>
  <c r="R29" i="13"/>
  <c r="P29" i="13"/>
  <c r="X28" i="13"/>
  <c r="V28" i="13"/>
  <c r="T28" i="13"/>
  <c r="R28" i="13"/>
  <c r="P28" i="13"/>
  <c r="X27" i="13"/>
  <c r="V27" i="13"/>
  <c r="T27" i="13"/>
  <c r="R27" i="13"/>
  <c r="P27" i="13"/>
  <c r="X26" i="13"/>
  <c r="V26" i="13"/>
  <c r="T26" i="13"/>
  <c r="R26" i="13"/>
  <c r="P26" i="13"/>
  <c r="X25" i="13"/>
  <c r="V25" i="13"/>
  <c r="T25" i="13"/>
  <c r="R25" i="13"/>
  <c r="P25" i="13"/>
  <c r="X24" i="13"/>
  <c r="V24" i="13"/>
  <c r="T24" i="13"/>
  <c r="R24" i="13"/>
  <c r="P24" i="13"/>
  <c r="X23" i="13"/>
  <c r="V23" i="13"/>
  <c r="T23" i="13"/>
  <c r="R23" i="13"/>
  <c r="P23" i="13"/>
  <c r="X22" i="13"/>
  <c r="V22" i="13"/>
  <c r="T22" i="13"/>
  <c r="R22" i="13"/>
  <c r="P22" i="13"/>
  <c r="X21" i="13"/>
  <c r="V21" i="13"/>
  <c r="T21" i="13"/>
  <c r="R21" i="13"/>
  <c r="P21" i="13"/>
  <c r="E16" i="13"/>
  <c r="E15" i="13"/>
  <c r="E14" i="13"/>
  <c r="E13" i="13"/>
  <c r="E12" i="13"/>
  <c r="E11" i="13"/>
  <c r="E10" i="13"/>
  <c r="E9" i="13"/>
  <c r="E8" i="13"/>
  <c r="E7" i="13"/>
  <c r="E6" i="13"/>
  <c r="E5" i="13"/>
  <c r="E4" i="13"/>
  <c r="E3" i="13"/>
  <c r="M3" i="5"/>
  <c r="M2" i="5"/>
  <c r="N11" i="4"/>
  <c r="N12" i="4"/>
  <c r="N13" i="4"/>
  <c r="N14" i="4"/>
  <c r="N15" i="4"/>
  <c r="N16" i="4"/>
  <c r="N17" i="4"/>
  <c r="N18" i="4"/>
  <c r="N19" i="4"/>
  <c r="N20" i="4"/>
  <c r="N21" i="4"/>
  <c r="N22" i="4"/>
  <c r="N23" i="4"/>
  <c r="N24" i="4"/>
  <c r="N25" i="4"/>
  <c r="N10" i="4"/>
  <c r="M365" i="3"/>
  <c r="M363" i="3"/>
  <c r="M359" i="3"/>
  <c r="M358" i="3"/>
  <c r="M357" i="3"/>
  <c r="M356" i="3"/>
  <c r="M355" i="3"/>
  <c r="M354" i="3"/>
  <c r="M353" i="3"/>
  <c r="M352" i="3"/>
  <c r="M351" i="3"/>
  <c r="M342" i="3"/>
  <c r="M341" i="3"/>
  <c r="M340" i="3"/>
  <c r="M339" i="3"/>
  <c r="M338" i="3"/>
  <c r="M337" i="3"/>
  <c r="M336" i="3"/>
  <c r="M335" i="3"/>
  <c r="M334" i="3"/>
  <c r="M333" i="3"/>
  <c r="M332" i="3"/>
  <c r="M331" i="3"/>
  <c r="M330" i="3"/>
  <c r="M329" i="3"/>
  <c r="M328" i="3"/>
  <c r="M327" i="3"/>
  <c r="M326" i="3"/>
  <c r="M325" i="3"/>
  <c r="M323" i="3"/>
  <c r="M322" i="3"/>
  <c r="M321" i="3"/>
  <c r="M320" i="3"/>
  <c r="M319" i="3"/>
  <c r="M318" i="3"/>
  <c r="M317" i="3"/>
  <c r="M316" i="3"/>
  <c r="M315" i="3"/>
  <c r="M314" i="3"/>
  <c r="M313" i="3"/>
  <c r="M312" i="3"/>
  <c r="M311" i="3"/>
  <c r="M310" i="3"/>
  <c r="M309" i="3"/>
  <c r="M308"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34" i="3"/>
  <c r="M233" i="3"/>
  <c r="M232" i="3"/>
  <c r="M231" i="3"/>
  <c r="M230" i="3"/>
  <c r="M229" i="3"/>
  <c r="M228" i="3"/>
  <c r="M227" i="3"/>
  <c r="M226" i="3"/>
  <c r="M225" i="3"/>
  <c r="M224" i="3"/>
  <c r="M223" i="3"/>
  <c r="M222" i="3"/>
  <c r="M221" i="3"/>
  <c r="M220" i="3"/>
  <c r="M219" i="3"/>
  <c r="M218" i="3"/>
  <c r="M217" i="3"/>
  <c r="M207" i="3"/>
  <c r="M206" i="3"/>
  <c r="M205" i="3"/>
  <c r="M204" i="3"/>
  <c r="M203" i="3"/>
  <c r="M202" i="3"/>
  <c r="M201" i="3"/>
  <c r="M200"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27" i="3"/>
  <c r="M126" i="3"/>
  <c r="M125" i="3"/>
  <c r="M124" i="3"/>
  <c r="M123" i="3"/>
  <c r="M122" i="3"/>
  <c r="M121" i="3"/>
  <c r="M120" i="3"/>
  <c r="M119" i="3"/>
  <c r="M118" i="3"/>
  <c r="M117" i="3"/>
  <c r="M116" i="3"/>
  <c r="M115" i="3"/>
  <c r="M114" i="3"/>
  <c r="M113" i="3"/>
  <c r="M112" i="3"/>
  <c r="M111" i="3"/>
  <c r="M110" i="3"/>
  <c r="M109" i="3"/>
  <c r="M108" i="3"/>
  <c r="M107" i="3"/>
  <c r="M106" i="3"/>
  <c r="M105" i="3"/>
  <c r="M99" i="3"/>
  <c r="M98" i="3"/>
  <c r="M97" i="3"/>
  <c r="M96" i="3"/>
  <c r="M95" i="3"/>
  <c r="M94" i="3"/>
  <c r="M93" i="3"/>
  <c r="M92" i="3"/>
  <c r="M91" i="3"/>
  <c r="M90" i="3"/>
  <c r="M89" i="3"/>
  <c r="M88" i="3"/>
  <c r="M87" i="3"/>
  <c r="M86" i="3"/>
  <c r="M85" i="3"/>
  <c r="M84" i="3"/>
  <c r="M83" i="3"/>
  <c r="M82" i="3"/>
  <c r="M81" i="3"/>
  <c r="M80" i="3"/>
  <c r="M79" i="3"/>
  <c r="M78" i="3"/>
  <c r="M77" i="3"/>
  <c r="M76" i="3"/>
  <c r="M68" i="3"/>
  <c r="M67" i="3"/>
  <c r="M66" i="3"/>
  <c r="M65" i="3"/>
  <c r="M64" i="3"/>
  <c r="M63" i="3"/>
  <c r="M62" i="3"/>
  <c r="M61" i="3"/>
  <c r="M60" i="3"/>
  <c r="M59" i="3"/>
  <c r="M58" i="3"/>
  <c r="M39" i="3"/>
  <c r="M28" i="3"/>
  <c r="N28" i="3" s="1"/>
  <c r="M27" i="3"/>
  <c r="M26" i="3"/>
  <c r="M25" i="3"/>
  <c r="M24" i="3"/>
  <c r="M23" i="3"/>
  <c r="M22" i="3"/>
  <c r="M21" i="3"/>
  <c r="M20" i="3"/>
  <c r="M19" i="3"/>
  <c r="M18" i="3"/>
  <c r="M17" i="3"/>
  <c r="M16" i="3"/>
  <c r="M15" i="3"/>
  <c r="M14" i="3"/>
  <c r="M13" i="3"/>
  <c r="M12" i="3"/>
  <c r="M11" i="3"/>
  <c r="M10" i="3"/>
  <c r="M9" i="3"/>
  <c r="M8" i="3"/>
  <c r="M7" i="3"/>
  <c r="M6" i="3"/>
  <c r="M5" i="3"/>
  <c r="M4" i="3"/>
  <c r="M3" i="3"/>
  <c r="M2" i="3"/>
  <c r="N126" i="3" l="1"/>
  <c r="N127" i="3"/>
  <c r="N357" i="3"/>
  <c r="N358" i="3"/>
  <c r="N359" i="3"/>
  <c r="N320" i="3"/>
  <c r="N321" i="3"/>
  <c r="N322" i="3"/>
  <c r="N323" i="3"/>
  <c r="N339" i="3"/>
  <c r="N340" i="3"/>
  <c r="N341" i="3"/>
  <c r="N342" i="3"/>
  <c r="K24" i="4"/>
  <c r="K23" i="4"/>
  <c r="N124" i="3"/>
  <c r="N125" i="3"/>
  <c r="N234" i="3"/>
  <c r="N232" i="3"/>
  <c r="N231" i="3"/>
  <c r="N233" i="3"/>
  <c r="N229" i="3"/>
  <c r="N230" i="3"/>
  <c r="N26" i="3" l="1"/>
  <c r="N27" i="3"/>
  <c r="N23" i="3"/>
  <c r="N24" i="3"/>
  <c r="N25" i="3"/>
  <c r="N95" i="3"/>
  <c r="N96" i="3"/>
  <c r="N94" i="3"/>
  <c r="N97" i="3"/>
  <c r="N98" i="3"/>
  <c r="N99" i="3"/>
  <c r="N119" i="3"/>
  <c r="N120" i="3"/>
  <c r="N121" i="3"/>
  <c r="N122" i="3"/>
  <c r="N123" i="3"/>
  <c r="N176" i="3"/>
  <c r="N207" i="3"/>
  <c r="N182" i="3"/>
  <c r="N183" i="3"/>
  <c r="N184" i="3"/>
  <c r="N185" i="3"/>
  <c r="N177" i="3"/>
  <c r="N178" i="3"/>
  <c r="N179" i="3"/>
  <c r="N180" i="3"/>
  <c r="N181" i="3"/>
  <c r="N169" i="3"/>
  <c r="N170" i="3"/>
  <c r="N171" i="3"/>
  <c r="N172" i="3"/>
  <c r="N173" i="3"/>
  <c r="N174" i="3"/>
  <c r="N175" i="3"/>
  <c r="N64" i="3"/>
  <c r="N65" i="3"/>
  <c r="N66" i="3"/>
  <c r="N67" i="3"/>
  <c r="N68" i="3"/>
  <c r="K17" i="4"/>
  <c r="K18" i="4"/>
  <c r="K25" i="4"/>
  <c r="K14" i="4" l="1"/>
  <c r="K15" i="4"/>
  <c r="K16" i="4"/>
  <c r="N286" i="3" l="1"/>
  <c r="N287" i="3"/>
  <c r="N288" i="3"/>
  <c r="N289" i="3"/>
  <c r="N290" i="3"/>
  <c r="N291" i="3"/>
  <c r="N292" i="3"/>
  <c r="N276" i="3"/>
  <c r="N277" i="3"/>
  <c r="N278" i="3"/>
  <c r="N279" i="3"/>
  <c r="N280" i="3"/>
  <c r="N281" i="3"/>
  <c r="N282" i="3"/>
  <c r="N283" i="3"/>
  <c r="N284" i="3"/>
  <c r="N285" i="3"/>
  <c r="N117" i="3" l="1"/>
  <c r="K10" i="4"/>
  <c r="K11" i="4"/>
  <c r="K12" i="4"/>
  <c r="K2" i="4"/>
  <c r="K3" i="4"/>
  <c r="K4" i="4"/>
  <c r="K5" i="4"/>
  <c r="K6" i="4"/>
  <c r="K7" i="4"/>
  <c r="K8" i="4"/>
  <c r="K9" i="4"/>
  <c r="K19" i="4"/>
  <c r="K20" i="4"/>
  <c r="K21" i="4"/>
  <c r="K22" i="4"/>
  <c r="K13" i="4"/>
  <c r="N273" i="3"/>
  <c r="M199" i="3"/>
  <c r="M135" i="3"/>
  <c r="M104" i="3"/>
  <c r="N15" i="3" l="1"/>
  <c r="N4" i="3"/>
  <c r="N5" i="3"/>
  <c r="N6" i="3"/>
  <c r="N7" i="3"/>
  <c r="N8" i="3"/>
  <c r="N9" i="3"/>
  <c r="N10" i="3"/>
  <c r="N11" i="3"/>
  <c r="N12" i="3"/>
  <c r="N13" i="3"/>
  <c r="N14" i="3"/>
  <c r="N3" i="3"/>
  <c r="N16" i="3"/>
  <c r="N17" i="3"/>
  <c r="N18" i="3"/>
  <c r="N19" i="3"/>
  <c r="N20" i="3"/>
  <c r="N21" i="3"/>
  <c r="N22" i="3"/>
  <c r="N113" i="3" l="1"/>
  <c r="N114" i="3"/>
  <c r="N115" i="3"/>
  <c r="N116" i="3"/>
  <c r="N118" i="3"/>
  <c r="N354" i="3" l="1"/>
  <c r="N355" i="3"/>
  <c r="N356" i="3"/>
  <c r="N168" i="3"/>
  <c r="N166" i="3"/>
  <c r="N167" i="3"/>
  <c r="N163" i="3"/>
  <c r="N164" i="3"/>
  <c r="N159" i="3"/>
  <c r="N160" i="3"/>
  <c r="N161" i="3"/>
  <c r="N154" i="3"/>
  <c r="N155" i="3"/>
  <c r="N156" i="3"/>
  <c r="N157" i="3"/>
  <c r="N153" i="3"/>
  <c r="N158" i="3"/>
  <c r="N162" i="3"/>
  <c r="N165" i="3"/>
  <c r="N93" i="3" l="1"/>
  <c r="N86" i="3"/>
  <c r="N87" i="3"/>
  <c r="N88" i="3"/>
  <c r="N89" i="3"/>
  <c r="N90" i="3"/>
  <c r="N91" i="3"/>
  <c r="N61" i="3" l="1"/>
  <c r="N62" i="3"/>
  <c r="N63" i="3"/>
  <c r="N203" i="3"/>
  <c r="N204" i="3"/>
  <c r="N205" i="3"/>
  <c r="N206" i="3"/>
  <c r="N226" i="3"/>
  <c r="N227" i="3"/>
  <c r="N228" i="3"/>
  <c r="N221" i="3"/>
  <c r="N222" i="3"/>
  <c r="N223" i="3"/>
  <c r="N224" i="3"/>
  <c r="N225" i="3"/>
  <c r="N309" i="3"/>
  <c r="N310" i="3"/>
  <c r="N311" i="3"/>
  <c r="N312" i="3"/>
  <c r="N313" i="3"/>
  <c r="N314" i="3"/>
  <c r="N315" i="3"/>
  <c r="N316" i="3"/>
  <c r="N317" i="3"/>
  <c r="N318" i="3"/>
  <c r="N319" i="3"/>
  <c r="N270" i="3"/>
  <c r="N271" i="3"/>
  <c r="N272" i="3"/>
  <c r="N274" i="3"/>
  <c r="N275" i="3"/>
  <c r="N267" i="3"/>
  <c r="N268" i="3"/>
  <c r="N269" i="3"/>
  <c r="N259" i="3"/>
  <c r="N260" i="3"/>
  <c r="N261" i="3"/>
  <c r="N262" i="3"/>
  <c r="N263" i="3"/>
  <c r="N264" i="3"/>
  <c r="N265" i="3"/>
  <c r="N266" i="3"/>
  <c r="N330" i="3" l="1"/>
  <c r="N331" i="3"/>
  <c r="N332" i="3"/>
  <c r="N333" i="3"/>
  <c r="N334" i="3"/>
  <c r="N335" i="3"/>
  <c r="N336" i="3"/>
  <c r="N337" i="3"/>
  <c r="N338" i="3"/>
  <c r="N326" i="3"/>
  <c r="N327" i="3"/>
  <c r="N328" i="3"/>
  <c r="N329" i="3"/>
  <c r="N60" i="3" l="1"/>
  <c r="N59" i="3"/>
  <c r="N201" i="3" l="1"/>
  <c r="N202" i="3"/>
  <c r="N220" i="3"/>
  <c r="N219" i="3"/>
  <c r="N218" i="3"/>
  <c r="W89" i="13" l="1"/>
  <c r="U89" i="13"/>
  <c r="S89" i="13"/>
  <c r="Q89" i="13"/>
  <c r="O89" i="13"/>
  <c r="W71" i="13"/>
  <c r="U71" i="13"/>
  <c r="S71" i="13"/>
  <c r="Q71" i="13"/>
  <c r="O71" i="13"/>
  <c r="W53" i="13"/>
  <c r="U53" i="13"/>
  <c r="S53" i="13"/>
  <c r="Q53" i="13"/>
  <c r="O53" i="13"/>
  <c r="W35" i="13"/>
  <c r="U35" i="13"/>
  <c r="S35" i="13"/>
  <c r="Q35" i="13"/>
  <c r="O35" i="13"/>
  <c r="X39" i="13"/>
  <c r="X40" i="13"/>
  <c r="X41" i="13"/>
  <c r="X42" i="13"/>
  <c r="X43" i="13"/>
  <c r="X44" i="13"/>
  <c r="X45" i="13"/>
  <c r="X46" i="13"/>
  <c r="X47" i="13"/>
  <c r="X48" i="13"/>
  <c r="X49" i="13"/>
  <c r="X50" i="13"/>
  <c r="X51" i="13"/>
  <c r="X52" i="13"/>
  <c r="V39" i="13"/>
  <c r="V40" i="13"/>
  <c r="V41" i="13"/>
  <c r="V42" i="13"/>
  <c r="V43" i="13"/>
  <c r="V44" i="13"/>
  <c r="V45" i="13"/>
  <c r="V46" i="13"/>
  <c r="V47" i="13"/>
  <c r="V48" i="13"/>
  <c r="V49" i="13"/>
  <c r="V50" i="13"/>
  <c r="V51" i="13"/>
  <c r="V52" i="13"/>
  <c r="T39" i="13"/>
  <c r="T40" i="13"/>
  <c r="T41" i="13"/>
  <c r="T42" i="13"/>
  <c r="T43" i="13"/>
  <c r="T44" i="13"/>
  <c r="T45" i="13"/>
  <c r="T46" i="13"/>
  <c r="T47" i="13"/>
  <c r="T48" i="13"/>
  <c r="T49" i="13"/>
  <c r="T50" i="13"/>
  <c r="T51" i="13"/>
  <c r="T52" i="13"/>
  <c r="R39" i="13"/>
  <c r="R40" i="13"/>
  <c r="R41" i="13"/>
  <c r="R42" i="13"/>
  <c r="R43" i="13"/>
  <c r="R44" i="13"/>
  <c r="R45" i="13"/>
  <c r="R46" i="13"/>
  <c r="R47" i="13"/>
  <c r="R48" i="13"/>
  <c r="R49" i="13"/>
  <c r="R50" i="13"/>
  <c r="R51" i="13"/>
  <c r="R52" i="13"/>
  <c r="P39" i="13"/>
  <c r="P40" i="13"/>
  <c r="P41" i="13"/>
  <c r="P42" i="13"/>
  <c r="P43" i="13"/>
  <c r="P44" i="13"/>
  <c r="P45" i="13"/>
  <c r="P46" i="13"/>
  <c r="P47" i="13"/>
  <c r="P48" i="13"/>
  <c r="P49" i="13"/>
  <c r="P50" i="13"/>
  <c r="P51" i="13"/>
  <c r="P52" i="13"/>
  <c r="X57" i="13"/>
  <c r="X58" i="13"/>
  <c r="X59" i="13"/>
  <c r="X60" i="13"/>
  <c r="X61" i="13"/>
  <c r="X62" i="13"/>
  <c r="X63" i="13"/>
  <c r="X64" i="13"/>
  <c r="X65" i="13"/>
  <c r="X66" i="13"/>
  <c r="X67" i="13"/>
  <c r="X68" i="13"/>
  <c r="X69" i="13"/>
  <c r="X70" i="13"/>
  <c r="V57" i="13"/>
  <c r="V58" i="13"/>
  <c r="V59" i="13"/>
  <c r="V60" i="13"/>
  <c r="V61" i="13"/>
  <c r="V62" i="13"/>
  <c r="V63" i="13"/>
  <c r="V64" i="13"/>
  <c r="V65" i="13"/>
  <c r="V66" i="13"/>
  <c r="V67" i="13"/>
  <c r="V68" i="13"/>
  <c r="V69" i="13"/>
  <c r="V70" i="13"/>
  <c r="T57" i="13"/>
  <c r="T58" i="13"/>
  <c r="T59" i="13"/>
  <c r="T60" i="13"/>
  <c r="T61" i="13"/>
  <c r="T62" i="13"/>
  <c r="T63" i="13"/>
  <c r="T64" i="13"/>
  <c r="T65" i="13"/>
  <c r="T66" i="13"/>
  <c r="T67" i="13"/>
  <c r="T68" i="13"/>
  <c r="T69" i="13"/>
  <c r="T70" i="13"/>
  <c r="R57" i="13"/>
  <c r="R58" i="13"/>
  <c r="R59" i="13"/>
  <c r="R60" i="13"/>
  <c r="R61" i="13"/>
  <c r="R62" i="13"/>
  <c r="R63" i="13"/>
  <c r="R64" i="13"/>
  <c r="R65" i="13"/>
  <c r="R66" i="13"/>
  <c r="R67" i="13"/>
  <c r="R68" i="13"/>
  <c r="R69" i="13"/>
  <c r="R70" i="13"/>
  <c r="P57" i="13"/>
  <c r="P58" i="13"/>
  <c r="P59" i="13"/>
  <c r="P60" i="13"/>
  <c r="P61" i="13"/>
  <c r="P62" i="13"/>
  <c r="P63" i="13"/>
  <c r="P64" i="13"/>
  <c r="P65" i="13"/>
  <c r="P66" i="13"/>
  <c r="P67" i="13"/>
  <c r="P68" i="13"/>
  <c r="P69" i="13"/>
  <c r="P70" i="13"/>
  <c r="X75" i="13"/>
  <c r="X76" i="13"/>
  <c r="X77" i="13"/>
  <c r="X78" i="13"/>
  <c r="X79" i="13"/>
  <c r="X80" i="13"/>
  <c r="X81" i="13"/>
  <c r="X82" i="13"/>
  <c r="X83" i="13"/>
  <c r="X84" i="13"/>
  <c r="X85" i="13"/>
  <c r="X86" i="13"/>
  <c r="X87" i="13"/>
  <c r="X88" i="13"/>
  <c r="V75" i="13"/>
  <c r="V76" i="13"/>
  <c r="V77" i="13"/>
  <c r="V78" i="13"/>
  <c r="V79" i="13"/>
  <c r="V80" i="13"/>
  <c r="V81" i="13"/>
  <c r="V82" i="13"/>
  <c r="V83" i="13"/>
  <c r="V84" i="13"/>
  <c r="V85" i="13"/>
  <c r="V86" i="13"/>
  <c r="V87" i="13"/>
  <c r="V88" i="13"/>
  <c r="T75" i="13"/>
  <c r="T76" i="13"/>
  <c r="T77" i="13"/>
  <c r="T78" i="13"/>
  <c r="T79" i="13"/>
  <c r="T80" i="13"/>
  <c r="T81" i="13"/>
  <c r="T82" i="13"/>
  <c r="T83" i="13"/>
  <c r="T84" i="13"/>
  <c r="T85" i="13"/>
  <c r="T86" i="13"/>
  <c r="T87" i="13"/>
  <c r="T88" i="13"/>
  <c r="R75" i="13"/>
  <c r="R76" i="13"/>
  <c r="R77" i="13"/>
  <c r="R78" i="13"/>
  <c r="R79" i="13"/>
  <c r="R80" i="13"/>
  <c r="R81" i="13"/>
  <c r="R82" i="13"/>
  <c r="R83" i="13"/>
  <c r="R84" i="13"/>
  <c r="R85" i="13"/>
  <c r="R86" i="13"/>
  <c r="R87" i="13"/>
  <c r="R88" i="13"/>
  <c r="P88" i="13"/>
  <c r="P87" i="13"/>
  <c r="P86" i="13"/>
  <c r="P85" i="13"/>
  <c r="P84" i="13"/>
  <c r="P83" i="13"/>
  <c r="P82" i="13"/>
  <c r="P81" i="13"/>
  <c r="P80" i="13"/>
  <c r="P79" i="13"/>
  <c r="P78" i="13"/>
  <c r="P77" i="13"/>
  <c r="P76" i="13"/>
  <c r="P75" i="13"/>
  <c r="I16" i="13"/>
  <c r="I15" i="13"/>
  <c r="I14" i="13"/>
  <c r="I13" i="13"/>
  <c r="I12" i="13"/>
  <c r="I11" i="13"/>
  <c r="I10" i="13"/>
  <c r="I9" i="13"/>
  <c r="I8" i="13"/>
  <c r="I7" i="13"/>
  <c r="I6" i="13"/>
  <c r="I5" i="13"/>
  <c r="I4" i="13"/>
  <c r="I3" i="13"/>
  <c r="R89" i="13" l="1"/>
  <c r="V89" i="13"/>
  <c r="P71" i="13"/>
  <c r="T71" i="13"/>
  <c r="X71" i="13"/>
  <c r="R53" i="13"/>
  <c r="V53" i="13"/>
  <c r="P89" i="13"/>
  <c r="T89" i="13"/>
  <c r="X89" i="13"/>
  <c r="R71" i="13"/>
  <c r="V71" i="13"/>
  <c r="P53" i="13"/>
  <c r="T53" i="13"/>
  <c r="X53" i="13"/>
  <c r="X3" i="13"/>
  <c r="X4" i="13"/>
  <c r="X5" i="13"/>
  <c r="X6" i="13"/>
  <c r="X7" i="13"/>
  <c r="X8" i="13"/>
  <c r="X9" i="13"/>
  <c r="X10" i="13"/>
  <c r="X11" i="13"/>
  <c r="X12" i="13"/>
  <c r="X13" i="13"/>
  <c r="X14" i="13"/>
  <c r="X15" i="13"/>
  <c r="X16" i="13"/>
  <c r="V3" i="13"/>
  <c r="V4" i="13"/>
  <c r="V5" i="13"/>
  <c r="V6" i="13"/>
  <c r="V7" i="13"/>
  <c r="V8" i="13"/>
  <c r="V9" i="13"/>
  <c r="V10" i="13"/>
  <c r="V11" i="13"/>
  <c r="V12" i="13"/>
  <c r="V13" i="13"/>
  <c r="V14" i="13"/>
  <c r="V15" i="13"/>
  <c r="V16" i="13"/>
  <c r="T3" i="13"/>
  <c r="T4" i="13"/>
  <c r="T5" i="13"/>
  <c r="T6" i="13"/>
  <c r="T7" i="13"/>
  <c r="T8" i="13"/>
  <c r="T9" i="13"/>
  <c r="T10" i="13"/>
  <c r="T11" i="13"/>
  <c r="T12" i="13"/>
  <c r="T13" i="13"/>
  <c r="T14" i="13"/>
  <c r="T15" i="13"/>
  <c r="T16" i="13"/>
  <c r="R3" i="13"/>
  <c r="R4" i="13"/>
  <c r="R5" i="13"/>
  <c r="R6" i="13"/>
  <c r="R7" i="13"/>
  <c r="R8" i="13"/>
  <c r="R9" i="13"/>
  <c r="R10" i="13"/>
  <c r="R11" i="13"/>
  <c r="R12" i="13"/>
  <c r="R13" i="13"/>
  <c r="R14" i="13"/>
  <c r="R15" i="13"/>
  <c r="R16" i="13"/>
  <c r="P3" i="13"/>
  <c r="P4" i="13"/>
  <c r="P5" i="13"/>
  <c r="P6" i="13"/>
  <c r="P7" i="13"/>
  <c r="P8" i="13"/>
  <c r="P9" i="13"/>
  <c r="P10" i="13"/>
  <c r="P11" i="13"/>
  <c r="P12" i="13"/>
  <c r="P13" i="13"/>
  <c r="P14" i="13"/>
  <c r="P15" i="13"/>
  <c r="P16" i="13"/>
  <c r="G16" i="13"/>
  <c r="G15" i="13"/>
  <c r="G14" i="13"/>
  <c r="G13" i="13"/>
  <c r="G12" i="13"/>
  <c r="G11" i="13"/>
  <c r="G10" i="13"/>
  <c r="G9" i="13"/>
  <c r="G8" i="13"/>
  <c r="G7" i="13"/>
  <c r="G6" i="13"/>
  <c r="G5" i="13"/>
  <c r="G4" i="13"/>
  <c r="G3" i="13"/>
  <c r="R35" i="13" l="1"/>
  <c r="V35" i="13"/>
  <c r="T35" i="13"/>
  <c r="X35" i="13"/>
  <c r="P35" i="13"/>
  <c r="R17" i="13"/>
  <c r="V17" i="13"/>
  <c r="P17" i="13"/>
  <c r="T17" i="13"/>
  <c r="X17" i="13"/>
  <c r="G17" i="13"/>
  <c r="N106" i="3" l="1"/>
  <c r="N107" i="3"/>
  <c r="N108" i="3"/>
  <c r="N109" i="3"/>
  <c r="N110" i="3"/>
  <c r="N111" i="3"/>
  <c r="N112" i="3"/>
  <c r="N84" i="3" l="1"/>
  <c r="N85" i="3"/>
  <c r="N92" i="3"/>
  <c r="N81" i="3"/>
  <c r="N80" i="3"/>
  <c r="N77" i="3"/>
  <c r="N78" i="3"/>
  <c r="N79" i="3"/>
  <c r="N82" i="3"/>
  <c r="N83" i="3"/>
  <c r="N352" i="3" l="1"/>
  <c r="N353" i="3"/>
  <c r="N150" i="3" l="1"/>
  <c r="N151" i="3"/>
  <c r="N147" i="3" l="1"/>
  <c r="N148" i="3"/>
  <c r="N149" i="3"/>
  <c r="N152" i="3"/>
  <c r="N142" i="3" l="1"/>
  <c r="N143" i="3"/>
  <c r="N144" i="3"/>
  <c r="N145" i="3"/>
  <c r="N139" i="3" l="1"/>
  <c r="N140" i="3"/>
  <c r="N141" i="3"/>
  <c r="N137" i="3" l="1"/>
  <c r="N138" i="3"/>
  <c r="N146" i="3"/>
  <c r="C16" i="13"/>
  <c r="C4" i="13"/>
  <c r="C5" i="13"/>
  <c r="C6" i="13"/>
  <c r="C7" i="13"/>
  <c r="C8" i="13"/>
  <c r="C9" i="13"/>
  <c r="C10" i="13"/>
  <c r="C11" i="13"/>
  <c r="C12" i="13"/>
  <c r="C13" i="13"/>
  <c r="C14" i="13"/>
  <c r="C15" i="13"/>
  <c r="C3" i="13"/>
  <c r="N256" i="3"/>
  <c r="N257" i="3"/>
  <c r="N258" i="3"/>
  <c r="N253" i="3"/>
  <c r="N254" i="3"/>
  <c r="N255" i="3"/>
  <c r="N252" i="3"/>
  <c r="N249" i="3"/>
  <c r="N250" i="3"/>
  <c r="N251" i="3"/>
  <c r="N244" i="3"/>
  <c r="N245" i="3"/>
  <c r="N246" i="3"/>
  <c r="N247" i="3"/>
  <c r="N248" i="3"/>
  <c r="K9" i="13" l="1"/>
  <c r="L9" i="13" s="1"/>
  <c r="K13" i="13"/>
  <c r="L13" i="13" s="1"/>
  <c r="K5" i="13"/>
  <c r="L5" i="13" s="1"/>
  <c r="K15" i="13"/>
  <c r="L15" i="13" s="1"/>
  <c r="K11" i="13"/>
  <c r="L11" i="13" s="1"/>
  <c r="K7" i="13"/>
  <c r="L7" i="13" s="1"/>
  <c r="K16" i="13"/>
  <c r="L16" i="13" s="1"/>
  <c r="E17" i="13"/>
  <c r="K3" i="13"/>
  <c r="C17" i="13"/>
  <c r="I17" i="13"/>
  <c r="K14" i="13"/>
  <c r="L14" i="13" s="1"/>
  <c r="K10" i="13"/>
  <c r="L10" i="13" s="1"/>
  <c r="K6" i="13"/>
  <c r="L6" i="13" s="1"/>
  <c r="K12" i="13"/>
  <c r="L12" i="13" s="1"/>
  <c r="K8" i="13"/>
  <c r="L8" i="13" s="1"/>
  <c r="K4" i="13"/>
  <c r="L4" i="13" s="1"/>
  <c r="L3" i="13" l="1"/>
  <c r="K17" i="13"/>
  <c r="O43" i="2" l="1"/>
  <c r="O44" i="2"/>
  <c r="O48" i="2"/>
  <c r="O49" i="2"/>
  <c r="O51" i="2"/>
  <c r="O30" i="2"/>
  <c r="O31" i="2"/>
  <c r="O35" i="2"/>
  <c r="O20" i="2"/>
  <c r="O21" i="2"/>
  <c r="O22" i="2"/>
  <c r="O23" i="2"/>
  <c r="O24" i="2"/>
  <c r="O25" i="2"/>
  <c r="O26" i="2"/>
  <c r="O11" i="2"/>
  <c r="O4" i="2"/>
  <c r="O5" i="2"/>
  <c r="O12" i="2"/>
  <c r="O13" i="2"/>
  <c r="O14" i="2"/>
  <c r="O15" i="2"/>
  <c r="O16" i="2"/>
  <c r="O19" i="2"/>
  <c r="O2" i="2" l="1"/>
  <c r="O36" i="2"/>
  <c r="O41" i="2"/>
  <c r="O42" i="2"/>
  <c r="M37" i="5" l="1"/>
  <c r="E10" i="1" s="1"/>
  <c r="F10" i="1" s="1"/>
  <c r="N27" i="4"/>
  <c r="E9" i="1" s="1"/>
  <c r="F9" i="1" s="1"/>
  <c r="N38" i="3"/>
  <c r="N39" i="3"/>
  <c r="N57" i="3"/>
  <c r="N58" i="3"/>
  <c r="N75" i="3"/>
  <c r="N76" i="3"/>
  <c r="N104" i="3"/>
  <c r="N105" i="3"/>
  <c r="N135" i="3"/>
  <c r="N136" i="3"/>
  <c r="N199" i="3"/>
  <c r="N200" i="3"/>
  <c r="N216" i="3"/>
  <c r="N217" i="3"/>
  <c r="N242" i="3"/>
  <c r="N243" i="3"/>
  <c r="N307" i="3"/>
  <c r="N308" i="3"/>
  <c r="N325" i="3"/>
  <c r="N350" i="3"/>
  <c r="N351" i="3"/>
  <c r="N362" i="3"/>
  <c r="N363" i="3"/>
  <c r="N364" i="3"/>
  <c r="N365" i="3"/>
  <c r="N2" i="3"/>
  <c r="N53" i="2"/>
  <c r="E7" i="1" s="1"/>
  <c r="F7" i="1" s="1"/>
  <c r="D11" i="1"/>
  <c r="L10" i="1" l="1"/>
  <c r="K10" i="1"/>
  <c r="J10" i="1"/>
  <c r="N367" i="3"/>
  <c r="E6" i="1" s="1"/>
  <c r="O53" i="2"/>
  <c r="E8" i="1" s="1"/>
  <c r="F8" i="1" s="1"/>
  <c r="E11" i="1" l="1"/>
  <c r="F6" i="1"/>
  <c r="J11" i="1" l="1"/>
  <c r="F11" i="1"/>
</calcChain>
</file>

<file path=xl/sharedStrings.xml><?xml version="1.0" encoding="utf-8"?>
<sst xmlns="http://schemas.openxmlformats.org/spreadsheetml/2006/main" count="4180" uniqueCount="813">
  <si>
    <t>PROJECT NUMBER</t>
  </si>
  <si>
    <t>Staff Costs</t>
  </si>
  <si>
    <t>Travel Costs</t>
  </si>
  <si>
    <t>Costs of Stay</t>
  </si>
  <si>
    <t>Equipement Costs</t>
  </si>
  <si>
    <t>Subcontracting costs</t>
  </si>
  <si>
    <t>A</t>
  </si>
  <si>
    <t>Grant for project activities</t>
  </si>
  <si>
    <t>GRANT AWARDED</t>
  </si>
  <si>
    <t>%</t>
  </si>
  <si>
    <t>Date</t>
  </si>
  <si>
    <t>Amount</t>
  </si>
  <si>
    <t>REAL EXPENDITURE</t>
  </si>
  <si>
    <t>Distance</t>
  </si>
  <si>
    <t>Country</t>
  </si>
  <si>
    <t>WORK PACKAGE</t>
  </si>
  <si>
    <t>PARTNER NUMBER</t>
  </si>
  <si>
    <t>NAME OF PARTNER</t>
  </si>
  <si>
    <t>COUNTRY</t>
  </si>
  <si>
    <t>STAFF/STUDENT</t>
  </si>
  <si>
    <t>DEPARTURE DATE</t>
  </si>
  <si>
    <t>TRAVEL DISTANCE</t>
  </si>
  <si>
    <t>SUPPORTING DOCUMENT</t>
  </si>
  <si>
    <t>Preparation</t>
  </si>
  <si>
    <t>Development</t>
  </si>
  <si>
    <t>Staff</t>
  </si>
  <si>
    <t>1-14 days</t>
  </si>
  <si>
    <t>15-60</t>
  </si>
  <si>
    <t>60-90</t>
  </si>
  <si>
    <t>Total</t>
  </si>
  <si>
    <t>NAME OF STAFF MEMBER</t>
  </si>
  <si>
    <t>STAFF CATEGORY</t>
  </si>
  <si>
    <t>SHORT DESCRIPTION OF TASKS</t>
  </si>
  <si>
    <t>FROM</t>
  </si>
  <si>
    <t>TO</t>
  </si>
  <si>
    <t>NUMBER OF DAYS</t>
  </si>
  <si>
    <t>MAX. UNIT COST PER DAY</t>
  </si>
  <si>
    <t>TOTAL CALCULATED</t>
  </si>
  <si>
    <t>NATURE, TYPE &amp; SPECIFICATIONS OF THE ITEM</t>
  </si>
  <si>
    <t>PROVIDING COMPANY</t>
  </si>
  <si>
    <t>VAT &amp; TAXES</t>
  </si>
  <si>
    <t>AMOUNT</t>
  </si>
  <si>
    <t>CURRENCY</t>
  </si>
  <si>
    <t>EXCHANGE RATE</t>
  </si>
  <si>
    <t>AMOUNT CHARGED TO THE PROJECT</t>
  </si>
  <si>
    <t>PROJECT NAME</t>
  </si>
  <si>
    <t>Percentage</t>
  </si>
  <si>
    <t>Manager</t>
  </si>
  <si>
    <t>Teacher/Trainer/Researcher</t>
  </si>
  <si>
    <t>Administrative Staff</t>
  </si>
  <si>
    <t>Nº</t>
  </si>
  <si>
    <t>P1</t>
  </si>
  <si>
    <t>P2</t>
  </si>
  <si>
    <t>P3</t>
  </si>
  <si>
    <t>P4</t>
  </si>
  <si>
    <t>P5</t>
  </si>
  <si>
    <t>P6</t>
  </si>
  <si>
    <t>P7</t>
  </si>
  <si>
    <t>P8</t>
  </si>
  <si>
    <t>P9</t>
  </si>
  <si>
    <t>P10</t>
  </si>
  <si>
    <t>P11</t>
  </si>
  <si>
    <t>P12</t>
  </si>
  <si>
    <t>Spain</t>
  </si>
  <si>
    <t>Category</t>
  </si>
  <si>
    <t>WP</t>
  </si>
  <si>
    <t>Costs of stay</t>
  </si>
  <si>
    <t>City (country)</t>
  </si>
  <si>
    <t>Partner</t>
  </si>
  <si>
    <t>Start</t>
  </si>
  <si>
    <t>End</t>
  </si>
  <si>
    <t>Months</t>
  </si>
  <si>
    <t>Quality Plan</t>
  </si>
  <si>
    <t>Dissemination &amp; Exploitation</t>
  </si>
  <si>
    <t>Management</t>
  </si>
  <si>
    <t>Technical Sataff</t>
  </si>
  <si>
    <t>0 KM and 9 KM</t>
  </si>
  <si>
    <t>100 KM and 499 KM</t>
  </si>
  <si>
    <t>10 KM and 99 KM</t>
  </si>
  <si>
    <t>500 KM and 1999 KM</t>
  </si>
  <si>
    <t>2000 KM and 2999 KM</t>
  </si>
  <si>
    <t>3000 KM and 3999 KM</t>
  </si>
  <si>
    <t>4000 KM and 7999 KM</t>
  </si>
  <si>
    <t>8000 KM and more KM</t>
  </si>
  <si>
    <t xml:space="preserve">Student </t>
  </si>
  <si>
    <t>15-90</t>
  </si>
  <si>
    <t>P13</t>
  </si>
  <si>
    <t>Name of Partner</t>
  </si>
  <si>
    <t>MIETC</t>
  </si>
  <si>
    <t>610198-EPP-1-2019-1-ES-EPPKA2-CBHE-JP</t>
  </si>
  <si>
    <t>Slovenia</t>
  </si>
  <si>
    <t>Italy</t>
  </si>
  <si>
    <t>Turkmenistan</t>
  </si>
  <si>
    <t>Tajikistan</t>
  </si>
  <si>
    <t>University of Santiago de Compostela (USC)</t>
  </si>
  <si>
    <t>Santiago de Compostela</t>
  </si>
  <si>
    <t>Ayeconomics Research Centre S.L.</t>
  </si>
  <si>
    <t>University of Ljubljana (UL)</t>
  </si>
  <si>
    <t xml:space="preserve">Ljubljana </t>
  </si>
  <si>
    <t>University of Naples Federico II (UNF)</t>
  </si>
  <si>
    <t>Naples</t>
  </si>
  <si>
    <t>Ust-Kamenogorsk</t>
  </si>
  <si>
    <t>Academy of Science of Turkmenistan (AST)</t>
  </si>
  <si>
    <t>Ashabad</t>
  </si>
  <si>
    <t>Turkmen State Institute of Economics and Management (TSIEM)</t>
  </si>
  <si>
    <t>Turkmen State Institute of Finance (TSIF)</t>
  </si>
  <si>
    <t>Karaganda</t>
  </si>
  <si>
    <t>Technological University of Tajikistan (TUT)</t>
  </si>
  <si>
    <t>Dushanbe</t>
  </si>
  <si>
    <t>Tajik State University of Tajikistan (TSUC)</t>
  </si>
  <si>
    <t>CTAST</t>
  </si>
  <si>
    <t>FANOVAR</t>
  </si>
  <si>
    <t>ECBP</t>
  </si>
  <si>
    <t>P14</t>
  </si>
  <si>
    <t>Anne Forryan</t>
  </si>
  <si>
    <t>Brussels</t>
  </si>
  <si>
    <t>Zarrina Kadyrova</t>
  </si>
  <si>
    <t>Moscow</t>
  </si>
  <si>
    <t>Rustam Gadzhiyev</t>
  </si>
  <si>
    <t>Ayeconomics</t>
  </si>
  <si>
    <t>UL</t>
  </si>
  <si>
    <t>AST</t>
  </si>
  <si>
    <t>TSIF</t>
  </si>
  <si>
    <t>TSUC</t>
  </si>
  <si>
    <t>TSIEM</t>
  </si>
  <si>
    <t>TUT</t>
  </si>
  <si>
    <t xml:space="preserve"> </t>
  </si>
  <si>
    <t xml:space="preserve">                               -  </t>
  </si>
  <si>
    <t>Shallyyev Charymuhammet</t>
  </si>
  <si>
    <t>Tajik State University of Commerce (TSUC)</t>
  </si>
  <si>
    <t>P#</t>
  </si>
  <si>
    <t>PARTNER</t>
  </si>
  <si>
    <t>REF.</t>
  </si>
  <si>
    <t>NAME</t>
  </si>
  <si>
    <t>CITY OF DEPARTURE</t>
  </si>
  <si>
    <t>CITY OF DESTINATION</t>
  </si>
  <si>
    <t>RETURN DATE</t>
  </si>
  <si>
    <t>Nº OF DAYS</t>
  </si>
  <si>
    <t>MAX. TRAVEL COSTS</t>
  </si>
  <si>
    <t>MAX. COSTS OF STAY</t>
  </si>
  <si>
    <t>Administrative</t>
  </si>
  <si>
    <t>Teacher</t>
  </si>
  <si>
    <t>Techical</t>
  </si>
  <si>
    <t>Dissemination</t>
  </si>
  <si>
    <t>Aizhan Samambayeva</t>
  </si>
  <si>
    <t>Iria Dios Murcia</t>
  </si>
  <si>
    <t>Yolanda Pena-Boquete</t>
  </si>
  <si>
    <t>P2.1</t>
  </si>
  <si>
    <t>P2.2</t>
  </si>
  <si>
    <t>P2.3</t>
  </si>
  <si>
    <t>P2.4</t>
  </si>
  <si>
    <t xml:space="preserve">Market needs strategy, list of indicators per country, presentation of market needs strategy, info day and preliminary results presentation for Turkmenistan and Kazakhstan </t>
  </si>
  <si>
    <t xml:space="preserve">List of indicators per country, info day and preliminary results presentation for Turkmenistan and Kazakhstan </t>
  </si>
  <si>
    <t xml:space="preserve">Developing Market needs strategy, data gathering of labour market indicators Tajikistan, Kazakhstan, Turkmenistan. Harmonisation of data, Providing descriptive statistics, Providing conclusions </t>
  </si>
  <si>
    <t>Ainura Omarova</t>
  </si>
  <si>
    <t>P9.1</t>
  </si>
  <si>
    <t>Dinara Sergaliyeva</t>
  </si>
  <si>
    <t>P9.2</t>
  </si>
  <si>
    <t>Registration of organizational documents for the project, Preparation of reporting documents, Online meetings.</t>
  </si>
  <si>
    <t>Karina Nevmatulina</t>
  </si>
  <si>
    <t>P9.3</t>
  </si>
  <si>
    <t>Preparation, discussion and approval of organizational documents for the project, Kick-off meeting of MIETC, Online meeting,  Dissemination of information on the current work of the university in the MIETC project on the official web pages of the university, English training.</t>
  </si>
  <si>
    <t>Olessya Zhidkoblinova</t>
  </si>
  <si>
    <t>P9.4</t>
  </si>
  <si>
    <t>Kick-off meeting of MIETC, English courses, Online meetings, Dissemination of information on the current work of the university in the MIETC project on the official web pages of the university.</t>
  </si>
  <si>
    <t>Oxana Bezler</t>
  </si>
  <si>
    <t>P9.5</t>
  </si>
  <si>
    <t>Preparation, discussion and approval of organizational documents for the project, 
Project Coordinator, Development of Concept of Center for Entrepreneurship, Kick-off meeting of MIETC, Coordination of the working group on the passage of English courses, Online meetings, Preparation of reporting documents, English training.</t>
  </si>
  <si>
    <t>Yelena Stavbunik</t>
  </si>
  <si>
    <t>Registration of organizational documents for the project, Development of Concept of Center for Entrepreneurship, Preparation of reporting documents, English training.</t>
  </si>
  <si>
    <t>P9.6</t>
  </si>
  <si>
    <t>Yevgenia Puntus</t>
  </si>
  <si>
    <t>Kick-off meeting of MIETC, English courses, Online meetings, Analysis of indicators of the labor market and the market of educational services in the region.</t>
  </si>
  <si>
    <t>Preparation, discussion and approval of organizational documents for the project, Project Coordinator, Development of Concept of Center for Entrepreneurship, Kick-off meeting of MIETC, Coordination of the working group on the passage of English courses, Online meetings, Preparation of reporting documents, English training.</t>
  </si>
  <si>
    <t>P9.7</t>
  </si>
  <si>
    <t>Charyyar Amansahedov</t>
  </si>
  <si>
    <t>P6.1</t>
  </si>
  <si>
    <t>Project internal communication with inner and interregional partners, Participation to the online Kick Off meeting 
Dissemination strategy circulation, feedback from Partners, inner meeting, Project coordination and management action support, TKM side Project coordination and management action support, Quality Plan following and implementation
Analysis of needs and competences  actions support, English language training program participation, Preparedness to MIETC the articles and publications, Project internal communication and coordination in connection with June 12-th international conference, Inner discussion on TKM partners needs and competences, English language improving proficiency 
Preparation for development of the curriculum for the Master Program, Review of the Project professional network</t>
  </si>
  <si>
    <t>P6.2</t>
  </si>
  <si>
    <t>Inner TKMs Project’s implementation plan, overall preparation to the project implementation, Developing dissemination strategy (drat document), Inner TKM project team meeting, Developing dissemination strategy (permanent communication to all project partners), Support dor Defining Management Board, Dissemination board (DB), Academic Board (AB), Entrepreneurship Centre Manager (ECM), Task Core Groups (TCGs), Dissemination Strategy correspondence, discussion and elaboration, Support for preparation of English language training program and Improving English proficiency of academic staff, Project internal communication with inner and interregional partners, English language training program and Improving English proficiency of academic staff, Participation in the Kick Off Meeting (online, via Zoom), Dissemination strategy circulation, feedback from Partners, Project coordination and management action support, Support for the Project coordination and management, Support for Development of guidelines for target group survey, information delivering to Ayeconomics, Periodical reports implementation, Analysis of needs and competences  actions support, English language training program participation, Action dissemination at the international online conference, Support for inner financial management and administration, Inner discussion on TKM partners needs and competences, International Conference participation and project action dissemination (Ashgabat June 12-13, 2020), English language proficiency improving, Periodical reports implementation, Social media and communication review and actions support.</t>
  </si>
  <si>
    <t>P6.3</t>
  </si>
  <si>
    <t>Orazmamed Vasov</t>
  </si>
  <si>
    <t>Inner TKMs Project’s preparation to the project implementation. Support for developing dissemination strategy. Project internal communication with inner and interegional partners. Support for Development of guidelines for target group survey. English language training program participation. International Conference participation and project action dissemination and delivering. English language proficiency improving. Review and improving periodical reports. Project related social media and communication review and actions support.</t>
  </si>
  <si>
    <t>Ruben Yegoshin</t>
  </si>
  <si>
    <t>P6.4</t>
  </si>
  <si>
    <t>Inner TKMs Project’s implementation plan, overall preparing to the project implementation, Technical support for developing of dissemination strategy (drat document), Defining Management Board, Dissemination board (DB), Academic Board (AB), Entrepreneurship Centre Manager (ECM), Task Core Groups (TCGs), Project internal communication with inner and interregional partners, Support for developing dissemination strategy, Preparation and analysing for project web site and visual identity and social media, Carrying out Project internal communication with inner and interregional partners, Participation in project internal communication with inner and other partners, Support for creation of project web site and visual identity
Participation in Project internal communication with inner and interregional partners, Participating in the inner video conference under the Project, Participation in the English language training program and Improving English proficiency of academic staff</t>
  </si>
  <si>
    <t>Support for the Project coordination and management. Preparednesof to MIETC the articles and publications. English language proficiency improving.</t>
  </si>
  <si>
    <t>P12.1</t>
  </si>
  <si>
    <t>Ahmed Akmamedov</t>
  </si>
  <si>
    <t>P4.1</t>
  </si>
  <si>
    <t>P5.1</t>
  </si>
  <si>
    <t>Carmela Gargiulo</t>
  </si>
  <si>
    <t>Project Internal communication and coordination - sharing information with other partner. Kick off Meeting. Partecipation to market analysis presentation AYE. Website presentation with partner. Defining Members for each management board. Quality plan- defining procedur and layout.</t>
  </si>
  <si>
    <t>Gerardo Carpentieri</t>
  </si>
  <si>
    <t xml:space="preserve">Analysis of international Mater porgrams - Selection of Master programs in Industrial Enterpreneurship sector </t>
  </si>
  <si>
    <t>P4.2</t>
  </si>
  <si>
    <t>P4.3</t>
  </si>
  <si>
    <t>Web site and visual identity - defining of layout and main section of Mietc Web</t>
  </si>
  <si>
    <t>Carmen Guida</t>
  </si>
  <si>
    <t>Analysis of international Mater programs report about offers and suggestions for developing MIETC master program</t>
  </si>
  <si>
    <t>P4.4</t>
  </si>
  <si>
    <t>Federica Gaglione</t>
  </si>
  <si>
    <t>P4.5</t>
  </si>
  <si>
    <t>P4.6</t>
  </si>
  <si>
    <t>Social Media and communication - Opening the social maedia account (instagram, twitter, Facebook and youtube)</t>
  </si>
  <si>
    <t>Analysis of international Master programs Organization of selected master programs</t>
  </si>
  <si>
    <t>Stefania Volpe</t>
  </si>
  <si>
    <t>Kick off Meeting. Financial management  and administration - suporting project oordination and management action. Web site and visual identity. Finalizing hosting web site procedure</t>
  </si>
  <si>
    <t>P4.7</t>
  </si>
  <si>
    <t>WP/Task</t>
  </si>
  <si>
    <t>WP1</t>
  </si>
  <si>
    <t>WP2</t>
  </si>
  <si>
    <t>WP4</t>
  </si>
  <si>
    <t>WP5</t>
  </si>
  <si>
    <t>Zhadyra Konurbayeva</t>
  </si>
  <si>
    <t>Zhassulan Shaimardanov</t>
  </si>
  <si>
    <t xml:space="preserve">Analysis of needs of the project, Project internal communication and coordination, Kick-off  meeting - online organization, Preparation progress reports, Financial management and administration  </t>
  </si>
  <si>
    <t>Saule Rakhmetullina</t>
  </si>
  <si>
    <t xml:space="preserve">Analysis of needs of the project, Participate in the needs and competences analysis surveys, Kick-off  meeting - online organization, Implement Workshops/Survey with stakeholders, Preparation progress reports </t>
  </si>
  <si>
    <t>Madina Yussubaliyeva</t>
  </si>
  <si>
    <t>Needs analysis, Kick-off  meeting - online organization, Strategy of English language training. List of participants. Participation in kick off meeting, Collection of  information, monitoring of project documentation, Implement a course on Coursera for EKSTU"Improve your communication skills"  to improve English of teachers for Central Asia academic partners. Application process for Coursera course in the frame of program, Design ESP course to improve English of teachers for Central Asia academic partners. Half year report. Reports. Launching agreement process for perchasing English Discoveries.</t>
  </si>
  <si>
    <t>Elvira Madiyarova</t>
  </si>
  <si>
    <t xml:space="preserve">Selection of educational literature for the preparation of the program of English language courses, selection of statistical data for marketing analysis, maintaining project documentation, participation in the preparation and conduct of various project activities </t>
  </si>
  <si>
    <t>Marina Kozlova</t>
  </si>
  <si>
    <t xml:space="preserve">Selection of educational literature for the preparation of the program of English language courses, selection of statistical data for marketing analysis, work on the content and content of the University website that informs about the project  </t>
  </si>
  <si>
    <t>WP3</t>
  </si>
  <si>
    <t>Technical Staff</t>
  </si>
  <si>
    <t>Wp1</t>
  </si>
  <si>
    <t>Reported</t>
  </si>
  <si>
    <t>Administrative staff</t>
  </si>
  <si>
    <t>Analysis of needs of the project, Analysis of competences on the  regional labor market.</t>
  </si>
  <si>
    <t>Kick-off  meeting - online organization, Project internal communication and coordination, Financial management and administration  .</t>
  </si>
  <si>
    <t>P5.2</t>
  </si>
  <si>
    <t>P5.3</t>
  </si>
  <si>
    <t>P5.4</t>
  </si>
  <si>
    <t>P5.5</t>
  </si>
  <si>
    <t>P5.6</t>
  </si>
  <si>
    <t>P8.1</t>
  </si>
  <si>
    <t>P8.2</t>
  </si>
  <si>
    <t>Shohrat Byashimov</t>
  </si>
  <si>
    <t>Preparation of required resources to the project implementation. Preparation of and English course. Dissemination action support.</t>
  </si>
  <si>
    <t>Meeting of the TCM project team. Management and preparation of orientation program. Participation in the Kick-off meeting. Project coordination and management.</t>
  </si>
  <si>
    <t>Kerim Muhammedov</t>
  </si>
  <si>
    <t>Preparation of required resources to the project implementation. Meeting of the TCM project team. Management and preparation of orientation program. Participation in the Kick-off meeting. Project coordination and management.</t>
  </si>
  <si>
    <t>Dissemination strategy circulation, feedback from participants.</t>
  </si>
  <si>
    <t>P7.1</t>
  </si>
  <si>
    <t>Meeting of the TCM project team. Management and preparation of orientation program. Participation in the Kick-off meeting. Project coordination and management support.</t>
  </si>
  <si>
    <t xml:space="preserve">Preparation of required resources to the project implementation. </t>
  </si>
  <si>
    <t>Attending Kick-off meeting. Internal communication and coordination of the project with SEB LU adminstration.</t>
  </si>
  <si>
    <t>Tomaž Čater</t>
  </si>
  <si>
    <t>P3.2</t>
  </si>
  <si>
    <t>P3.1</t>
  </si>
  <si>
    <t>Analysis of needs and competences for international Master program</t>
  </si>
  <si>
    <t>GYRATCOMPUTER</t>
  </si>
  <si>
    <t>P7.2</t>
  </si>
  <si>
    <t>EUR</t>
  </si>
  <si>
    <t>USD</t>
  </si>
  <si>
    <t>Translation of project documentation English-Russian-Turkmen</t>
  </si>
  <si>
    <t>HJ TOP</t>
  </si>
  <si>
    <t>Printing of promotional materials</t>
  </si>
  <si>
    <t>P11.1</t>
  </si>
  <si>
    <t>P1.1</t>
  </si>
  <si>
    <t>Prepared project implementation plan. Singned agreements, participated in online meetings. Participation in the Coordinators meeting in Belgium. Meeting with TSUC teachers.</t>
  </si>
  <si>
    <t>Developed draft of Sustainability Strategy. Organized selction of teachers of English training and participation in Coursera. Continued development of SS and presentation in online meeting.</t>
  </si>
  <si>
    <t>Publish information about the porject in TSUC's website. Contrituted to the development of Dissemination Strategy.</t>
  </si>
  <si>
    <t>Communication with partners rearding SS and DS. Participating in online meetings with partners. Assisted professors with Coursera.</t>
  </si>
  <si>
    <t>Muhammadali Eshov</t>
  </si>
  <si>
    <t>P11.2</t>
  </si>
  <si>
    <t>P11.3</t>
  </si>
  <si>
    <t>P11.4</t>
  </si>
  <si>
    <t>Assisted in the development of the SS draft.</t>
  </si>
  <si>
    <t>Hamidullokhon Fakerov</t>
  </si>
  <si>
    <t>Consulted during the preparation of implementation plan. Monitored and consulted during the preparation of SS.</t>
  </si>
  <si>
    <t>Mubinzhon Abduvaliev</t>
  </si>
  <si>
    <t>Leargin the MIETC'S requirement and it's strateey of sutainability and innovative character. Re-involved the list of trainees and to evaluate their level of English and set an announcement on the university's websites. Providing a roundtable with the university's faculties. Collected data on faculties' performances for OLS modules. Successfullv completed an Advanced Business course within OLS.</t>
  </si>
  <si>
    <t>P11.5</t>
  </si>
  <si>
    <t>Nurmuhammad Abdullozoda</t>
  </si>
  <si>
    <t>P11.6</t>
  </si>
  <si>
    <t>Provide explanation and guidelines regarding Coursera platform to participating teachers. Online meeting with EKSTU about OLS.</t>
  </si>
  <si>
    <t>Open a section on the TSUC website in three languages for dissemination. Posted materials and about project related outcomes on the University website and social media. Liaise with OLS representative and project partners.</t>
  </si>
  <si>
    <t>P11.7</t>
  </si>
  <si>
    <t xml:space="preserve">Management and financial documents - budget and reporting. Consulted the principal of TSUC and project coordinator about rules and regulations related to accounting. Conducted presentation for staff about payments within projects. Prepared documents related </t>
  </si>
  <si>
    <t>Sadullo Faezov</t>
  </si>
  <si>
    <t>P11.8</t>
  </si>
  <si>
    <t>Management of Coursera with project staff and communication with Kazakh partners. Communication with partners regarding SS. Management of the questionnaires for students and employers. Preparation of the monitoring and presentation of project achievents.</t>
  </si>
  <si>
    <t>Analysis of the implementation of the quality plan, online meetings</t>
  </si>
  <si>
    <t>General ccoordination of the working group</t>
  </si>
  <si>
    <t>P9.8</t>
  </si>
  <si>
    <t>Collecting and preparation of information on the implementation of measures for the site, Online meetings</t>
  </si>
  <si>
    <t>P9.9</t>
  </si>
  <si>
    <t>Improvement of the quality plan</t>
  </si>
  <si>
    <t>P9.10</t>
  </si>
  <si>
    <t>P9.11</t>
  </si>
  <si>
    <t>P9.12</t>
  </si>
  <si>
    <t>P9.13</t>
  </si>
  <si>
    <t>P9.14</t>
  </si>
  <si>
    <t>P10.1</t>
  </si>
  <si>
    <t>Creation of project bank account. Preparation Partnership Agreement for signing. Provision information about TUT project team. Preparation necessary documents for obtaining Schengen Visa, booking the air tickets and accommodation for Kick-off meeting participants. Completion of questionnaire for market need analysis. Preparation and participation on onlne Kick-off meeting. Completion of first period financial reporting.</t>
  </si>
  <si>
    <t>Completion of TUT dissemination part of the project dissemination strategy. Completion of final option of project dissemination strategy.</t>
  </si>
  <si>
    <t>Shokir Mirzoev</t>
  </si>
  <si>
    <t xml:space="preserve">Creation of project bank account. Provision information about TUT project team. Preparation of Partnership Agreement draft. Project internal communcation and coordination. Preparation for online Kick-off meeting. Participation in online Kick-off meeting. Preparation of Partnership Agreement draft. Particpation on discussion of budget amendment and correction of TUT project budget. Project internal communcation and coordination. Regular internal communication and coordination. </t>
  </si>
  <si>
    <t xml:space="preserve">Implementation of workshops/ Survey with stakeholders. </t>
  </si>
  <si>
    <t>P10.2</t>
  </si>
  <si>
    <t>Abdurasul Sattorov</t>
  </si>
  <si>
    <t>P10.3</t>
  </si>
  <si>
    <t>Provision necessary information for Needs Assessment for English language course. Developing of English language training program and improving English proficiently of academic staff. Completion questionaire for market need analysis. Preparation list of trainees for English language trainings. Developing of English language training program and improving English proficiently of academic staff. Developing of English language training program and improving English proficiently of academic staff.</t>
  </si>
  <si>
    <t>P10.4</t>
  </si>
  <si>
    <t>Participation on discussion of project budget amendment. Solving the problems regarding to the first transfer. Participation in online meeting. Project internal communication and coordination. Participation in online meeting with representatives of English learning online platform. Project internal communication and coordination. Second period financing reporting.</t>
  </si>
  <si>
    <t>Conducting of project info day. Participation in online dissemination meeting.</t>
  </si>
  <si>
    <t>Participation in NEO monitoring</t>
  </si>
  <si>
    <t xml:space="preserve">Participation on discussion of project budget amendment. Solving the problems regarding to the first transfer. Participation in online meeting. Discussion of the project equipment issues. </t>
  </si>
  <si>
    <t>Analysis of needs and competences</t>
  </si>
  <si>
    <t>P10.5</t>
  </si>
  <si>
    <t>Preparation proposal for new equipment. Completion of TUT part of project sustainability strategy. Conducting survey for the identification of skill needs. Consideration of details of the English courses. Completion the second round of the survey. Establishment of Entrepreneurs Centers, discussion of equipment issues. Description of the Master Program accreditation process for Tajik Partners.</t>
  </si>
  <si>
    <t>P10.6</t>
  </si>
  <si>
    <t>Meeting of the TSIF project team. Project coordination and management action support. Financial mangement action support.</t>
  </si>
  <si>
    <t>Project dissemination action support. Full support to UNINA within the project website and visual identity.</t>
  </si>
  <si>
    <t>Participation in workshop and surveys.</t>
  </si>
  <si>
    <t>P8.3</t>
  </si>
  <si>
    <t>P8.4</t>
  </si>
  <si>
    <t>Participation and support for porject professional network, social media and communication.</t>
  </si>
  <si>
    <t>Meeting of the TSIF project team. Project coordination and management action support.</t>
  </si>
  <si>
    <t>Project dissemination action support.</t>
  </si>
  <si>
    <t>Support for TUT in Sustainability and long-term recoomendations methodology</t>
  </si>
  <si>
    <t>Day to day overall project implementation. Participation and workshops and surveys.</t>
  </si>
  <si>
    <t>Project coordination and management action support. Student enrolment procedure implementation. Financial management action support. Equipment purchase.</t>
  </si>
  <si>
    <t>Participation and support for project professional network. Support for TUT in sustainability and long-term recommendations.</t>
  </si>
  <si>
    <t>Booklet preparation. Preparation of the project handourts and distribution. Online meetings of the DB and follow up measures. Full support to UNINA within the project webstie and visual identity.</t>
  </si>
  <si>
    <t>P2.5</t>
  </si>
  <si>
    <t>Preparing Draft: Describing challenges and the strategies implemented to overcome challenges. Conducting qualitative and quantitative indicators for tasks 2.1. 2.2. 2.3. Sending to parterns for feedback and draft improvent. Providing conclusion and proposal for furhter improvement. Formattinag and publishing reports.</t>
  </si>
  <si>
    <t>P2.6</t>
  </si>
  <si>
    <t>Providing feedback to Market needs analysis. Developing curriculum for Master Program. Formulatig main concept and needs of the market in Innovation Management. Define aim and objectives, description of the subject.</t>
  </si>
  <si>
    <t>P2.7</t>
  </si>
  <si>
    <t>Design of survey for Delphi analysis (first round), validation with the partners and incorporation of the suggestions. ImplementaKon of 1st round of Delphi analysis using QuestionPro platform, which allows anonymize the responses and logic in the questions. Design of infographics to increase the dissemination of the main results. Preparation of the competence analysis document and validation with the partner. Analysis of the results of the first round and incorporation of the results to updating survey for designing 2nd round of the survey. Analysis of the second round results and incorporation to the market need full-document.</t>
  </si>
  <si>
    <t>P2.8</t>
  </si>
  <si>
    <t>Updating of the DELPHI analysis time line. Meeting to be coordinated with local partners and be more efficient applying the survey taking into account COVID-19 limitations.</t>
  </si>
  <si>
    <t>Analysis of the preliminary results of market needs for targeJng the subjects that should be in the master curriculum. StarJng the development of the curriculum. Development of the curriculum.</t>
  </si>
  <si>
    <t>Klavdija Besednjak</t>
  </si>
  <si>
    <t>Administrative tasks of the project, colletion of information, monitoring and reviewing of project documentation.</t>
  </si>
  <si>
    <t>Mojca Maher Pirc</t>
  </si>
  <si>
    <t>Financial management of project activities and administration, communication activites related to project management. Participation in project meetings.</t>
  </si>
  <si>
    <t>Analysis and commenting on Dissemination strategy. Internal communication and coordination of MIETC project with SEB LU administration.</t>
  </si>
  <si>
    <t>P3.3</t>
  </si>
  <si>
    <t>P3.4</t>
  </si>
  <si>
    <t>P3.5</t>
  </si>
  <si>
    <t>Web site and visual identity - Defining of layout and main sections of MIETC web site. WP 5.5 Social media and communication.</t>
  </si>
  <si>
    <t>P4.8</t>
  </si>
  <si>
    <t>P4.9</t>
  </si>
  <si>
    <t>Development of the curriculum for the Master Program. Content development. Content development.</t>
  </si>
  <si>
    <t>P4.10</t>
  </si>
  <si>
    <t xml:space="preserve">Project internal communication and coordination - sharing information with other partners. </t>
  </si>
  <si>
    <t>Quality Plan - defining procedura and layout. Periodical reports.</t>
  </si>
  <si>
    <t>Development of the curriculum of the Master Program. Content development.</t>
  </si>
  <si>
    <t>P4.11</t>
  </si>
  <si>
    <t>P4.12</t>
  </si>
  <si>
    <t>Financial management and administration - supporting project coordination and management actions</t>
  </si>
  <si>
    <t>Periodical reports</t>
  </si>
  <si>
    <t>P4.13</t>
  </si>
  <si>
    <t>P6.5</t>
  </si>
  <si>
    <t>P6.6</t>
  </si>
  <si>
    <t>P6.7</t>
  </si>
  <si>
    <t>P6.8</t>
  </si>
  <si>
    <t>Inner TKMs day-to-day action implementation. Full support to UNINA within the project website and visual identity. TKM side project coordination and managment. Analysis of needs and compmetences action support. English language improving. Inner discussion on TKM partners needs and competences.</t>
  </si>
  <si>
    <t>Action dissemination, inner meetings. Project newsletter and leaflets dissemination. Preparation of articles and publications.</t>
  </si>
  <si>
    <t>Support to development of guidelines for target group survey</t>
  </si>
  <si>
    <t>TUT partner support with Sustainabily Strategy</t>
  </si>
  <si>
    <t>Financial management acton support. Equipment of TKM HEIs and subcontracting costs)</t>
  </si>
  <si>
    <t>Inner TKM project implementation plan, day to day overall project implementation. Support for development of guidelines for target group survey.</t>
  </si>
  <si>
    <t>Project newsletter and booklet preparation. Dissemination strategy implmentation. Online meeting of the DB and follow-up measures. Full support to UNINA with project website and visula identity. Articles and publications.</t>
  </si>
  <si>
    <t>Inner TKM project meetings. Project coordination and management action support. Participation in online meetings. Financial management action support (equipment for TKM HEIs and subcontracting)</t>
  </si>
  <si>
    <t>English language training program and improving English proficiency of academic staff support. Curriculum presentation to stakeholders discussion.</t>
  </si>
  <si>
    <t>Inner TKMs project day to day action support</t>
  </si>
  <si>
    <t>English language training program participation. Action Dissemination support. Support and review and improvement preriodical reports.</t>
  </si>
  <si>
    <t>Project online meeintgs participation. Project related social media communication review and actions support.</t>
  </si>
  <si>
    <t>Inner TKM project implementation plan.  Curriculum presentation to stakeholders. Support for TUT in Sustainability and Long-term recommendations methodology.</t>
  </si>
  <si>
    <t xml:space="preserve">Technical support for developing Dissemination Strategy. Online meeting of the DB and follow-up measures. Project website and visual identity info allocation. </t>
  </si>
  <si>
    <t>Carrying out project internal communication with inner and interregional partners.  Inner TKM project team meeting. Project coordination and management action support.</t>
  </si>
  <si>
    <t>Participation in online meeting. Articles publication eleboration action support.</t>
  </si>
  <si>
    <t>P12.2</t>
  </si>
  <si>
    <t>Online meeting participation.</t>
  </si>
  <si>
    <t>Financial management action support (equipment for TKM HEIs and subcontracting costs).</t>
  </si>
  <si>
    <t>Support for Development of guidelines for target group survey</t>
  </si>
  <si>
    <t>REPORTED</t>
  </si>
  <si>
    <t>1st Pre-finan</t>
  </si>
  <si>
    <t>2nd Pre-finan</t>
  </si>
  <si>
    <t>3rd Pre-finan</t>
  </si>
  <si>
    <t>Equipment</t>
  </si>
  <si>
    <t>P5.7</t>
  </si>
  <si>
    <t>Madina Rakhimberdinova</t>
  </si>
  <si>
    <t>P5.8</t>
  </si>
  <si>
    <t>P5.9</t>
  </si>
  <si>
    <t>P5.10</t>
  </si>
  <si>
    <t>P5.12</t>
  </si>
  <si>
    <t>1.1</t>
  </si>
  <si>
    <t>1.2</t>
  </si>
  <si>
    <t>1.3</t>
  </si>
  <si>
    <t>1.4</t>
  </si>
  <si>
    <t>1.5</t>
  </si>
  <si>
    <t>1.6</t>
  </si>
  <si>
    <t>1.7</t>
  </si>
  <si>
    <t>1.8</t>
  </si>
  <si>
    <t>1.9</t>
  </si>
  <si>
    <t>Sonia Cordido Méndez</t>
  </si>
  <si>
    <t>Ángel Duarte Campos</t>
  </si>
  <si>
    <t>Manuel Fernández Grela</t>
  </si>
  <si>
    <t>Kick-off meeting organization and planning: logistical aspects, preparation of the agenda, coordination of presentations and participants. Compilation of working teams list and contact lists. Internal financial managemnt of the grant and budget allocation. Kick-off meeting organization and planning.</t>
  </si>
  <si>
    <t>Development of the Work Plan of the project.</t>
  </si>
  <si>
    <t>Preparation and participation in the KoM. Presentation of technical, financial and administrative management and of the QAS. Preparation of detailed KoM minutes and follow-up actions. Drafting PAs and discussion with Partners. Setting up internal communication channels (Slack, email lists, online repository). Preparing budget amendment request. Transfers to partners.</t>
  </si>
  <si>
    <t>Quality Control and monitoring of the project's implementation and outputs. Preparing document templates to ensure format consistency (deliverables, agenda, presentations, etc.). Quality Control and monitoring of the project's implementation and outputs.</t>
  </si>
  <si>
    <t>Publication about the KoM on USC's website and social media. Revision of the Dissemination Strategy and feedback. Publication of news item about the online workshops with stakeholders in TKM and KZ. Reviewing and providing content for the project website.</t>
  </si>
  <si>
    <t xml:space="preserve">Day-to-day internal communication with Partners and project management. Elaboration of the internal communication and coordination plan (regulatory framework, distributed management, meetings and operation, internal communication channels, conflict resolution mechanisms). Elaboration of the Financianl and administrative management guide (transfer and reimbursement procedures, financial management of the Grant, reporting obligations, good practices). Participation in online meeting of the Dissemination Board (website and visual identity). </t>
  </si>
  <si>
    <t xml:space="preserve">Development of the Work Plan of the project. Nominations for the  distributed management bodies and compilation of member lists (MB, AC, DB, ECM). Presentation about WP2 on the kick-off meeting (implementation plan, accounting and monitoring mechanisms). Development of the Implementation Plan (detailed task distribution, task description, calendarization). Updating and monitoring the development of the Work Plan. Participation in online workshops with KZ and TKM stakeholders. </t>
  </si>
  <si>
    <t>Compiling information about the accreditation process in KZ, TJ and TKM.</t>
  </si>
  <si>
    <t>Preparing Quality Assurance Plan. Defining Quality Assurance Framework for each task.</t>
  </si>
  <si>
    <t>Analysis of International Master Programmes</t>
  </si>
  <si>
    <t>Preparation of Content Development Strategy for Kick-Off Meeting</t>
  </si>
  <si>
    <t>Setting up accounting and monitoring mechanisms (interactive spreadsheets).</t>
  </si>
  <si>
    <t>Revision, compilation and consolidation of budget expenditure reports. Drafting Partnership Agreement Amendments. Drafting tripartite contract for the purchase of TKM HEIs Equipment and discussion with Partners. Transfers to partners. Internal meetings with USC Financial &amp; Hiring Department. Execution of the tripartite contract for the purchase of TKM HEIs Equipment.</t>
  </si>
  <si>
    <t>Quality Control and monitoring of the project's implementation and outputs.</t>
  </si>
  <si>
    <t>Preparing dissemination report for the 1st period (specific dissemination actions). Reviewing the 1st project newsletter and providing feedback. Publication of news item in reference to the participation in Cluster Meeting.</t>
  </si>
  <si>
    <t>Participation in online meeting to discuss development of WP3. Revision of Sustainability Strategy. Development of the Curriculum.</t>
  </si>
  <si>
    <t xml:space="preserve">Elaboration of the Financianl and administrative management guide. Day-to-day internal communication with Partners and project management. Preparation, organization and participation on online project meeting. </t>
  </si>
  <si>
    <t>Updating and monitoring the development  of the Work Plan.</t>
  </si>
  <si>
    <t xml:space="preserve">Preparing Quality Assurance Plan. Defining Quality Assurance Framework for each task. Completing EACEA's survey on implementation status. </t>
  </si>
  <si>
    <t xml:space="preserve">Assisted in preparation of implementation plan. Conducted english proficiency test, conducting interviews and preparing a list of teaching staff for Coursera. </t>
  </si>
  <si>
    <t xml:space="preserve">Translated and published information on the TSUC website about MIETC project. </t>
  </si>
  <si>
    <t>Assisted teachers in using coursera platform. Organized online meeting with teachers participating in the project. Updated SS according to partner comments. Preparation of list of teachers for registration in OLS. Learing professional English on OLS platform and assisting teachers through individual consultation.</t>
  </si>
  <si>
    <t>Development of the curriculum for the Master Program. Content development: discussion of modules structure.</t>
  </si>
  <si>
    <t>Discussion of the content of the educational program, Development of the curriculum for the Master Program, Content development: discussion of modules structure</t>
  </si>
  <si>
    <t>Preparation of reporting documents. Project internal communication.</t>
  </si>
  <si>
    <t>Development of the curriculum for the Master Program, Content development: discussion of modules structure. English training, Dissemination strategy developing, Publication of an article.</t>
  </si>
  <si>
    <t>Project internal communication and coordination.</t>
  </si>
  <si>
    <t>Development of the curriculum for the Master Program. Developing of the dissemination strategy. Curriculum presentation to steakholders. Content development: structure of modules. English courses. Publication of an article.</t>
  </si>
  <si>
    <t>Discussion of the content of the Master  Program. Development of the Concept of Entrepreneurship Center. Meetings with employers. Online meetings with partners.</t>
  </si>
  <si>
    <t>Quality plan. English training.</t>
  </si>
  <si>
    <t>Financial management and administration. Preparation of the periodical reporting documents.</t>
  </si>
  <si>
    <t xml:space="preserve">Development of Concept of the Entrepreneurship Center. Meetings with employers.  Study of the experience of the Entrepreneurship Centers. Development of an algorithm for the creation and implementation. of the Entrepreneurship Center. Publication of an article. </t>
  </si>
  <si>
    <t>Collection of information for a periodical report</t>
  </si>
  <si>
    <t>Preparation of reporting documents. Financial administration.</t>
  </si>
  <si>
    <t>Development of questionnaires for potential students and employers. Development of the curriculum for the Master Program. Analysis of the foreign analogue master's programs. Online meetings. English trainings.</t>
  </si>
  <si>
    <t>Sadbarg Boboyorova</t>
  </si>
  <si>
    <t>[4] Desktop Computer (CPU + Cooler + Motherboard + RAM + Case + PSU + HDD + VGA + Keyboard + Mouse + Monitor)</t>
  </si>
  <si>
    <t>[2] Web Cam Intex IT-310WC 8.0 mpx</t>
  </si>
  <si>
    <t>[4] Printer Canon MF-3010 3.1 LaserJet A4</t>
  </si>
  <si>
    <t>[1] Cartridge JB CB435/36A/CE285A HP LJ P1105/M1120/M1133</t>
  </si>
  <si>
    <t>LLP Eland</t>
  </si>
  <si>
    <t>[2] HP W1A29A_S LaserJet Pro MFP M428FDN Printer</t>
  </si>
  <si>
    <t>KZT</t>
  </si>
  <si>
    <t>EKTU</t>
  </si>
  <si>
    <t>Kazakhstan</t>
  </si>
  <si>
    <t>[1] BenQ MW612 Projector</t>
  </si>
  <si>
    <t>Makarov A.V.</t>
  </si>
  <si>
    <t>[3] PTZ camera CleverMic 3010U</t>
  </si>
  <si>
    <t>LLP KazNetUniversal</t>
  </si>
  <si>
    <t>[2] CleverMic Hybrid Cable USB 3.0 (50M)</t>
  </si>
  <si>
    <t>LLP Unit-Technologies</t>
  </si>
  <si>
    <t>INVOICE DATE</t>
  </si>
  <si>
    <t>AMOUNT (excluding VAT)</t>
  </si>
  <si>
    <t>VAT &amp; TAXES (only if charged to project)</t>
  </si>
  <si>
    <t>TOTAL AMOUNT</t>
  </si>
  <si>
    <t>Subcontrac.</t>
  </si>
  <si>
    <t>TJS</t>
  </si>
  <si>
    <t>LLC OAZIS</t>
  </si>
  <si>
    <t>[1] Logitech ConferenceCam Rally Plus Ultra HD (960-001224)</t>
  </si>
  <si>
    <t>[1] MFP M425dn printer/scanner</t>
  </si>
  <si>
    <t>[1] BenQ mw612</t>
  </si>
  <si>
    <t>E-TKM-P7.1</t>
  </si>
  <si>
    <t>E-TKM-P8.1</t>
  </si>
  <si>
    <t>E-P5.1</t>
  </si>
  <si>
    <t>E-P5.2</t>
  </si>
  <si>
    <t>E-P5.3</t>
  </si>
  <si>
    <t>E-P5.4</t>
  </si>
  <si>
    <t>E-P11.1</t>
  </si>
  <si>
    <t>P5.11</t>
  </si>
  <si>
    <t xml:space="preserve">Coordination of team activities in achieving the main objectives of the project. Online meeting preparation. Financial and admi nistrative issues. Reporting. </t>
  </si>
  <si>
    <t>Oranize events/seminars/surveys among stakeholders. Statistics for market need analysis. Primary design of the Master degree program curriculum. Process of certification and accreditation.</t>
  </si>
  <si>
    <t>Work on the dissemination of information about the events and placement of social media accounts. Creating and updating informationon on website of the project and the university. Preparation of content material for public placement.</t>
  </si>
  <si>
    <t>Administrating and resiving English Language training Strategy. Lauching LMS OLS for the EL course by redesigning programs for trainees with beginner, elementary, intermediate and advanced level of English language. Organizing OLS orientation meetings for CA partners. Preparing reports fro addresing and resolving existing problems of EL training. Designed online course on Academic listening and speaking for CA partners.  Enrolment of participants.</t>
  </si>
  <si>
    <t>Communication with stakeholders of the project. Conducting analytical studies on the needs of the project's target audience.Organizing meetings with representatives of the enterprise and business to particpate in the study of market needs. Writing recommendations on the content of the education program.</t>
  </si>
  <si>
    <t>Organization of the process of teaching English to EKTU teachers. Assistance in making up their training schedule. Monitoring attendance. Organizing meeting with stakeholders to participate in the Survey. Conducting presonal interviews with representatives of industrial enterprises and government agencies. Equipment purchase and state procurement procedure. Report on accreditation procedure.</t>
  </si>
  <si>
    <t>P9.15</t>
  </si>
  <si>
    <t>Development of a joint draft of the curriculum for the master's degree program with a partner university. Improvement of measures of sustainable development.</t>
  </si>
  <si>
    <t>Preparation of infofmation for meetings,  participation in the national monitoring of the project</t>
  </si>
  <si>
    <t>Financial management and administration: preparation and translation of reporting documents; Project internal communication and coordination: assistance in the preparation of information for a working communication platform Slack</t>
  </si>
  <si>
    <t>Assistance in the implementation of points of a quality plan;  assistance in the development of rules and procedures for the implementation of the work package to ensure high quality standards</t>
  </si>
  <si>
    <t>Online meetings; placement of up-to-date information on the project and news about the activities carried out within the framework of the project,  participation in the national monitoring of the project</t>
  </si>
  <si>
    <t>P9.16</t>
  </si>
  <si>
    <t>English trainings, developing of the dissemination strategy with partners, Preparation of an articles</t>
  </si>
  <si>
    <t>Working on basic types of quality assurance tools, organization and participation in the national monitoring of the project</t>
  </si>
  <si>
    <t>Project internal communication and coordination. Preparation of information for the 2-nd meeting.</t>
  </si>
  <si>
    <t>P9.17</t>
  </si>
  <si>
    <t>P9.18</t>
  </si>
  <si>
    <t xml:space="preserve">General coordination of the working group, Project internal coordinator-communicator. Financial management and administration. </t>
  </si>
  <si>
    <t>P9.19</t>
  </si>
  <si>
    <t>Participation in discussion of the content of the Master  Program with employers, English training</t>
  </si>
  <si>
    <t>Analysis of the progress of the quality plan, organization and participation in the national monitoring of the project</t>
  </si>
  <si>
    <t>Project internal communication, Drafting and negotiating legal contracts with suppliers, approved the technical characteristics of the equipment.  Preparation of reporting financial documents and equipment documents, participation in the national monitoring of the project.</t>
  </si>
  <si>
    <t xml:space="preserve">Development of Concept of the Entrepreneurship Center, Meetings with employers,  Developing of Entrepreneurs Center; English courses  </t>
  </si>
  <si>
    <t>Drawing up the structure of discipline modules</t>
  </si>
  <si>
    <t>P9.20</t>
  </si>
  <si>
    <t xml:space="preserve">Analysis and processing of questionnaires for potential students and employers, Search, selection and purchase of equipment. Discussion of module content, Analysis of the foreign analogue master's programs (Spain, The UK, The USA, Hungary). Online meetings, English training, organization and participation in the national monitoring of the project. </t>
  </si>
  <si>
    <t>P9.21</t>
  </si>
  <si>
    <t>[1] Logitech Rally Plus Video Conferencing System</t>
  </si>
  <si>
    <t>[1] MFP Canon i-Sensys MF-267dw, A4, print 600x600dpi, 28ppm,
scan 600x600dpi, LCD, Wi-Fi, LAN, USB, ADF</t>
  </si>
  <si>
    <t>TOO белый ветер KZ</t>
  </si>
  <si>
    <t>[1] Projector Acer H5385BDi, DLP, 3D, 40001m, 20000: 1, HD720, 1280x720, 0.68-7.62m, 6000hr, 1-10m, 2.7kg</t>
  </si>
  <si>
    <t>E-P9.1</t>
  </si>
  <si>
    <t>[1] TV LED SAMSUNG Full HD '43 1080P</t>
  </si>
  <si>
    <t>[1]  Printer HP LaserJet Pro MFP M425dn</t>
  </si>
  <si>
    <t>[1] ConferenceCam Rally Plus Ultra HD (960-002324)</t>
  </si>
  <si>
    <t>осиё 2012</t>
  </si>
  <si>
    <t>E-P10.1</t>
  </si>
  <si>
    <t>P3.6</t>
  </si>
  <si>
    <t>P3.7</t>
  </si>
  <si>
    <t>Monitoring and reviewing project's progress and implementation of project tasks.</t>
  </si>
  <si>
    <t>Evaluating the dissemination strategy. Internal communication and coordination of the project with SEB LU administration. Meeting of the MB &amp; AB, commenting and contributing to the Quality Assurance Plan.</t>
  </si>
  <si>
    <t>P3.8</t>
  </si>
  <si>
    <t>P3.9</t>
  </si>
  <si>
    <t>Financial management of project activities and administration, communication activites related to project management with academic coordinator, project coordinator and project partners.</t>
  </si>
  <si>
    <t>P3.10</t>
  </si>
  <si>
    <t>Elaboration of the program structure of the Internationa Master Programme. Internal consultations and discussions. Duscussion on compulsory and elective courses. Coordination meeting about sillaby preparation.</t>
  </si>
  <si>
    <t>P12.3</t>
  </si>
  <si>
    <t xml:space="preserve">Support for the Project coordination and management </t>
  </si>
  <si>
    <t>Preparedness  to MIETC partners in promotional campaigns, the articles and publications (info providing)</t>
  </si>
  <si>
    <t>Support for TKM partners in Certification and accreditation process elaboration</t>
  </si>
  <si>
    <t>English language training program participation. Action support within TKM accreditation process .</t>
  </si>
  <si>
    <t>Support for dissemination strategy implementation. Project Web site condition review. Support for preparation of MIETC articles and publications (3-d newsletter). Project Web site condition review. Review of the Project professional network</t>
  </si>
  <si>
    <t>P6.9</t>
  </si>
  <si>
    <t>Participation in the inner online meetings. Project internal communication and coordination in connection with June 12-th international conference.</t>
  </si>
  <si>
    <t>P6.10</t>
  </si>
  <si>
    <t>Support for the dissemination strategy implemntation. International Conference participation and project action dissemination and delivering. Social media and communication review and actions support</t>
  </si>
  <si>
    <t>P6.11</t>
  </si>
  <si>
    <t>TKM partners English language training program involving. English language proficiency improving .</t>
  </si>
  <si>
    <t>Action support for Disseminatiom Strategy correspondence, discussion and elaboration. Dissemination strategy circulation, updates and feedback from Partners. Action dissemination at the international online conference. International Conference participation and project action dissemination (Ashgabat June 12-13, 2021). Social media and communication review and actions support from TKM side</t>
  </si>
  <si>
    <t>Participation in the project online Meeting (online, via Zoom). Participation in the Inner  meeting. Support for inner financial management and administration</t>
  </si>
  <si>
    <t>Support for Project’s implementation from TKM side. Support for Management Board and Dissemination boards (DB). Project internal communication with inner and interegional partners. Project coordination and management action support. Support for the Project coordination and management. Analysis of Project needs and competences - actions support. Inner discussion on TKM partners needs and competences</t>
  </si>
  <si>
    <t>Periodical reports implementation</t>
  </si>
  <si>
    <t>Technical support dissemination strategy implementation. Actions for the project web site and visual identity and social media supporting. Support for the preparation on 3-d project newsletter</t>
  </si>
  <si>
    <t>Suport for communication with inner and other partners. Participating in the inner video conference under the Project.</t>
  </si>
  <si>
    <t>P6.12</t>
  </si>
  <si>
    <t>P10.7</t>
  </si>
  <si>
    <t>Develop and edit a list of teachers for online English language courses. Preparation of documents for the purchase of equipment and their registration. Acceptance and installation of equipment in the entrepreneurship center of TUT and full submission of financial documentation of the equipment to the coordinator</t>
  </si>
  <si>
    <t>Preparation financial report for the first and second periods.</t>
  </si>
  <si>
    <t>P10.8</t>
  </si>
  <si>
    <t>Organization education process for involving TUT teachers for English courses. Discussion of the equipment purchasing process and replacement videoconference devices. Participation in the Management Board and the Academic Board on February 9th. Preparation of documents for the purchase of equipment and their registration. Participation in the meeting of the MB and the AB to discuss the possibility of requesting a 1 year project extension and to approve the Curriculum of the Master program.  Prepare an official letter to replace the projector on the TV in the list of equipment for TUT. Acceptance and installation of equipment in the entrepreneurship center of TUT and full submission of financial documentation of the equipment to the coordinator</t>
  </si>
  <si>
    <t>Study and analysis of the structure of educational programs for masters and the legal aspects of its organization in the Republic of Tajikistan</t>
  </si>
  <si>
    <t>P10.9</t>
  </si>
  <si>
    <t>P7.3</t>
  </si>
  <si>
    <t>Working to attract the main project participants to the joint development project of the curriculum and training materials. Curriculum presentation to steakholders. Content development: structure of modules. English courses, Preparation of an article,  participation in the national monitoring of the project.</t>
  </si>
  <si>
    <t>Inner TKMs Project’s implementation plan, preparation to the project implementation. Actions support for Management Board (MB) and, Dissemination board (DB). Project internal communication with inner and interegional partners. Project coordination and management action support. Permanent TKM side Project coordination and management action support. Analysis of needs and competences  actions support. TKM discussion on TKM partners needs and competences</t>
  </si>
  <si>
    <t>Support for project implementation by the Inner TKM partners.</t>
  </si>
  <si>
    <t>Internal communication with inner and interregional partners</t>
  </si>
  <si>
    <t>English language training program participation. Review and improving periodical reports. Support for development of accreditation process in TKM.</t>
  </si>
  <si>
    <t>Inner TKMs Project partners meeting support.  Participation in the DB discussions. Project internal communication with inner and interegional partners.</t>
  </si>
  <si>
    <t>Participation in the English language training program and Improving English proficiency of academic staff. English language improving proficiency. Support for preparation of Accreditation process.</t>
  </si>
  <si>
    <t>Preparing the Kick-Off meeting. Management of partners contributions to Market needs by providing data. Participation in Kick Off meeting. Preparing and presenting preliminary results of Market needs (Online Info Day). Presenting Market needs analysis.</t>
  </si>
  <si>
    <t>Revising, commenting and editing Dissemination strategy, English training strategy, Entrepreneurs Centres strategy &amp; deliverables of Market Needs and Dissemination tasks (newsletters, website, posts and etc)</t>
  </si>
  <si>
    <t>Ensure that all the project’s activities, outputs and deliverables comply with the overall objectives of the project and the specific objectives of each Work Package (WP). Preparing Quality Assurance Reports of Task 2.1; 2.2; 2.3. Finishing and editing Quality Assurance Reports of Task 2.1; 2.2; 2.3.</t>
  </si>
  <si>
    <t>P2.9</t>
  </si>
  <si>
    <t>Developing materials for the subjects Innovation Management (Units: Introduction and Management innovation), Financial Analysis for Non-financial Specialists (Units: cost of capital estimation and Capital budgeting decision criteria and credit rating agencies) and Supply Chain and Operations Management (Units: Introduction to Supply Chain and Operations Management, Sourcing and production management and Distribution and warehousing management).</t>
  </si>
  <si>
    <t>P2.10</t>
  </si>
  <si>
    <t>Maftuna Sayitova</t>
  </si>
  <si>
    <t>P2.11</t>
  </si>
  <si>
    <t>Research methods and Data Analysis (Unit: Introduction to research), Innovation Management (Unit: Introduction), Supply Chain and Operations Management (Unit: Distribution and warehousing management) and Sustainable Entrepreneurship (Unit: Taking decisions including environmental damages).</t>
  </si>
  <si>
    <t>Research Methods and Data Analysis (Unit: Introduc6on to research, Gathering data and preparing databases, Linear regression – Least squares and Panel data analysis) and Sustainable Entrepreneurship (Units: Human Resources management, Wage setting and productivity and Taking decisions including environmental damages)</t>
  </si>
  <si>
    <t>P2.12</t>
  </si>
  <si>
    <t>Preparing to participate in an online meeting. Organization of the project team's work on the implementation of the project. Coordination of team activities. Solving financial and administrative  issues related to the distribution of work and remuneration.  Work on the creation of the Entrepreneurship centre. Creating report on the project previous period.</t>
  </si>
  <si>
    <t>P5.13</t>
  </si>
  <si>
    <t>P5.14</t>
  </si>
  <si>
    <t>Communication with stakeholders of the project. Work on the creation of the entrepeneurship center. Solving administrative and financial issues. Writing recommendations on the content of the eduational program, taking into account the needs of business, production and other stakeholders.</t>
  </si>
  <si>
    <t>Work on the Quality Assurance Plan. Define rules and procedures for each Work Package. Developing quality frameworks. Devolopment of Quality Assurance tools (forms, registers, templates, standards).</t>
  </si>
  <si>
    <t>P5.15</t>
  </si>
  <si>
    <t>P5.16</t>
  </si>
  <si>
    <t>Devolpment of the primary curriculum for the master program. Discussion of the first draft with the partners. Organization of the presentation of the curriculum to stakeholders. Working with educators to develop the content and structure of the Master program courses. Creating a report on the project previous period.</t>
  </si>
  <si>
    <t>P5.17</t>
  </si>
  <si>
    <t>Work on the development of quality standards for the Devolpment WP. Work on the development of a quality framework for the WP Dissemination.</t>
  </si>
  <si>
    <t>Work on the development of the professional networks.</t>
  </si>
  <si>
    <t>P5.18</t>
  </si>
  <si>
    <t>Administrating and employing the English Language strategy of the project. Co-administrating LMS OLS. Enroling partiicpants. Coordinating the implementation of the of the English Language strategy  by organizing and providing synchronous and asynchronous courses. Teaching Academic listening and speaking for CA partners and pedagogic course for CA partners synchronously.  Ensuring progress report on training. Issuing certificates. Progress report.</t>
  </si>
  <si>
    <t>Took part in Management and Academic Boards meeting. Completed a English language course on OLS platform Prepared and made a presentation as part of the online Zoom English language course with Madina Yussubaliyeva</t>
  </si>
  <si>
    <t>P11.9</t>
  </si>
  <si>
    <t>P11.10</t>
  </si>
  <si>
    <t>P11.11</t>
  </si>
  <si>
    <t xml:space="preserve">Managed financial documents - budget and reporting. Consulted the project staff about regulations on equipment purchase. Managed the process of computer acccessories purchases. Did the accounting part of the purchased equipment. Calculated payrolls and due taxes for each MIETC project team member. </t>
  </si>
  <si>
    <t>P11.12</t>
  </si>
  <si>
    <t>P4.14</t>
  </si>
  <si>
    <t>P4.15</t>
  </si>
  <si>
    <t>P4.16</t>
  </si>
  <si>
    <t>Sabrina Sgambati</t>
  </si>
  <si>
    <t>P4.17</t>
  </si>
  <si>
    <t>P4.18</t>
  </si>
  <si>
    <t>Development of the curriculum frame for international Master program.</t>
  </si>
  <si>
    <t>Materials gathering and analysis for the courses Strategic Management, Project Management and Business Models (part 1 &amp; part 2). Preparation of syllabus template. Preparation of syllabi for the three courses. Coordination meeting on syllabi harmoznizations/standardizations. Preparation of course materials for the courses Strategic Management and Project Management.</t>
  </si>
  <si>
    <t>1.10</t>
  </si>
  <si>
    <t>1.11</t>
  </si>
  <si>
    <t>1.12</t>
  </si>
  <si>
    <t>Updating the Work Plan. Day-to-day internal communication with Partners and project management. Organization and participation in online meetings.</t>
  </si>
  <si>
    <t>2nd payment to Partners. Financial management and administration. Compiling and reviewing supporting documents from the Partners. Preparing consolidated budget reports.</t>
  </si>
  <si>
    <t>Publication of news item on institutional website in reference to the approval of the Curriculum. Preparing dissemination report for the 2nd period (specific dissemination actions). Reviewing the 2nd project newsletter and providing feedback. Revision of website content.</t>
  </si>
  <si>
    <t>Quality Control and monitoring of the project's implementation and outputs. Developing 1st periodic quality review.</t>
  </si>
  <si>
    <t>Preparation of public call to hire the External Evaluator.</t>
  </si>
  <si>
    <t>Meeting of the TCM project team. Preparation of supporting documents. Project management and preparation of resources to the program. Participation in meetings. Project coordination and management action support. Financial management.</t>
  </si>
  <si>
    <t>Revision of the Curriculum. Participation in English course. Checking requirements for accreditation process</t>
  </si>
  <si>
    <t>P8.5</t>
  </si>
  <si>
    <t>Participation in an online meeting. Meeting of the TSIF project team. Financial management action support.</t>
  </si>
  <si>
    <t>Improving English proficiency of academic staff</t>
  </si>
  <si>
    <t>Dissemination, promotional campaigns, info</t>
  </si>
  <si>
    <t>P8.6</t>
  </si>
  <si>
    <t>Meeting of the TSIF project team</t>
  </si>
  <si>
    <t>Content development: Coordination of syllabi. Preparation of the  syllabus and materials for the course International Markets and Marketing.</t>
  </si>
  <si>
    <t>E-P5.5</t>
  </si>
  <si>
    <t>English Training Platform - OLS license - March 2021</t>
  </si>
  <si>
    <t>English Training Platform - OLS license - April 2021</t>
  </si>
  <si>
    <t>English Training Platform - OLS license - June 2021</t>
  </si>
  <si>
    <t>Limited Liability Partnership OLS</t>
  </si>
  <si>
    <t xml:space="preserve">Assisted in implementation of the Project SS. Helped teachers studying English on the Online Language Studio (OLS) platform. Organized a meeting with teachers with the aim to brief them about the additional Listening and Speaking course (organized via ZOOM two times per week by Mrs. Madina Yussubaliyeva from D. Serikbayev East Kazakhstan Technical University). Updated the list of teachers for OLS and conducted presentation for them. Completed 3 Egnlish language courses on the OLS platform as well as participated in online L&amp;S course with Mrs. Madina Yussubaliyeva. I liaising with staff of the OLD platform and Mrs. Madina on technical and administrative issues. </t>
  </si>
  <si>
    <t>Assited in preparing the MIETC Draft Periodic Quality Assurance Report. Assited in preparing the final Periodic Quality Assurance Report.</t>
  </si>
  <si>
    <t>Implementation of Sustainability Strategy. Met with teachers studying English on the OLS platform.</t>
  </si>
  <si>
    <t>Took part in Management and Academic Boards meeting. Studying English on OLS platform.</t>
  </si>
  <si>
    <t>Prepared the draft Periodic Quality Assurance Report. Prepared and submitted the final Periodic Quality Assurance Report.</t>
  </si>
  <si>
    <t xml:space="preserve">Synchronous classes in group BSL1 and BSL2 a course of Speaking and listening </t>
  </si>
  <si>
    <t>Zhanat Zainelova</t>
  </si>
  <si>
    <t>P5.19</t>
  </si>
  <si>
    <t>Marzhan Rakhmetkaliyeva</t>
  </si>
  <si>
    <t>P5.20</t>
  </si>
  <si>
    <t>WP 3.1.3 Conent Development</t>
  </si>
  <si>
    <t>WP1.3. Project internal communication and coordination - sharing information with other partners.</t>
  </si>
  <si>
    <t>WP4.1. Quality Plan - Defining procedures for implementation</t>
  </si>
  <si>
    <t>WP5.5. Social media and communication. WP5.4. Website and visual identity.</t>
  </si>
  <si>
    <t>WP1.2. Financial management and administration. Supporting project coordinator and management actions.</t>
  </si>
  <si>
    <t>Date of invoice</t>
  </si>
  <si>
    <t>Didar Berdiyev</t>
  </si>
  <si>
    <t>Online Meeting “Internal Communication and Coordination” participations</t>
  </si>
  <si>
    <t xml:space="preserve">Analysis, descussion and support in Master Programms. Sustainability Stragegy drafting support. Support for the content of the Master Programme preparation </t>
  </si>
  <si>
    <t>Action dissemination, inner meetings.. Full support to UNINA within the Project web site and visual identity. Project Newsletter and leaflets dissemination. Preparation of MIETC the articles and publications . SW in Turkmenistan disseminationn</t>
  </si>
  <si>
    <t>Inner TKMs day-to-day action implementation. Quality Assurance plan reccomendation</t>
  </si>
  <si>
    <t>P6.13</t>
  </si>
  <si>
    <t>P12.4</t>
  </si>
  <si>
    <t>P6.14</t>
  </si>
  <si>
    <t xml:space="preserve">Inner TKMs Project’s  partners meetings support and participation. Project online meetings participation. </t>
  </si>
  <si>
    <t>Support for development of the master programe.  SW in Turkmenistan preparation support</t>
  </si>
  <si>
    <t>Project related social media and communication review and actions support (SW in Turkmenistan). Action Dissemination Support.</t>
  </si>
  <si>
    <t>Observation of master subject. Preparation to curriculum presentation to stakeholders. Suppoort in the content development</t>
  </si>
  <si>
    <t>Project Newsletter and booklet preparation, dissemination. Promotion of the project professional network. Full support to UNINA within the Project web site Web site and visual identity. Dissemination of the SW results . Articles and publications distribution</t>
  </si>
  <si>
    <t>Inner TKM project team meetings, Project coordination and management action support. Support for preparation to SWs and its implementation</t>
  </si>
  <si>
    <t>P6.15</t>
  </si>
  <si>
    <t>SW in Turkmenistan support in implementation</t>
  </si>
  <si>
    <t>Technical support for professional network . Project web site and visual identity and social media, info allocation support. Support for preparation of the SWs. Articles and publications elaboration action support</t>
  </si>
  <si>
    <t>Support for project implementation plan. Participation in project internal communication with inner and interregional partners. Action support dissemination of SW in KAZ and TAJ</t>
  </si>
  <si>
    <t>P6.16</t>
  </si>
  <si>
    <t>P7.4</t>
  </si>
  <si>
    <t>Irina Lapina</t>
  </si>
  <si>
    <t>KUK</t>
  </si>
  <si>
    <t>East-Kazakhstan Technical University (EKTU)</t>
  </si>
  <si>
    <t>participation in the development and translation into English of syllabuses of the master's program</t>
  </si>
  <si>
    <t>translation of documents for working trips of project participants, translation of the dissemination report</t>
  </si>
  <si>
    <t xml:space="preserve">Discussion of curricula of the master's program, participation in online meetings. Organization and holding of a stakeholder workshop, </t>
  </si>
  <si>
    <t>P9.22</t>
  </si>
  <si>
    <t>Project internal communication and coordination</t>
  </si>
  <si>
    <t>English trainings, development of syllabuses for the program, holding a working meeting of project participants and stakeholders</t>
  </si>
  <si>
    <t>P9.23</t>
  </si>
  <si>
    <t>Participation in online meetings; development of syllabuses. English language courses; preparation of protocols of working meetings of project participants; organization and participation in the stakeholder workshop</t>
  </si>
  <si>
    <t>P9.24</t>
  </si>
  <si>
    <t>Olga Tyan</t>
  </si>
  <si>
    <t>General ccoordination of the working group, Discussion of issues relating to the extension of the implementation period of the project, updating the work plan within the framework of russerne of the project, implementation and accreditation of the programmes</t>
  </si>
  <si>
    <t>Analysis of the progress of the quality plan, Preparation of infofmation for meetings</t>
  </si>
  <si>
    <t>The curriculum of the master's program was compiled, the goal was set and the tasks of the master's program were defined. active participation was taken in a meeting of project participants, presentation of a new master's degree program "Technological Entrepreneurship"</t>
  </si>
  <si>
    <t>P9.25</t>
  </si>
  <si>
    <t>Participation in organizing and holding a meeting of representatives of countries participating in the implementation of the MIETC program Development of curriculas Organizing and holding a meeting of stakeholders of the Karaganda region with project partners in order to discuss the opinion of the needs of the modern labor market in the competencies of future graduates of the master's program. Working meeting with stakeholders of partner universities of Central Asia (East Kazakhstan Technical University (Ust-Kamenogorsk) and partner universities of Tajikistan (Dushanbe).</t>
  </si>
  <si>
    <t>P9.26</t>
  </si>
  <si>
    <t>P9.27</t>
  </si>
  <si>
    <t>Development of the Entrepreneurship Center, Meetings with employers. Preparation of syllabuses on the disciplines of the master's program, Participation in Stakeholders workshops.</t>
  </si>
  <si>
    <t>Project internal communication, participation in the discussion and development of a joint master's program.  Preparation of reporting financial documents and equipment documents</t>
  </si>
  <si>
    <t>Additional collection of information by online questionnaire in order to conduct a more detailed analysis of the consumer market with the identification of potential applicants, employers and stakeholders Participation in the organization and holding of a meeting of representatives of countries participating in the implementation of the MIETC program; participation in online meetings; development of syllabuses Business trips to East Kazakhstan Technical University (Ust-Kamenogorsk) and partner universities of Tajikistan (Dushanbe)</t>
  </si>
  <si>
    <t>P9.28</t>
  </si>
  <si>
    <t>Preparation to curriculum presentation to stakeholders</t>
  </si>
  <si>
    <t xml:space="preserve">Dissemination, promotional campaigns, info. Dissemination of the SW results </t>
  </si>
  <si>
    <t>participation in an online meeting. participation in an online meeting. Inner TSIF project team meetings, Project coordination and management action support. Support for preparation to SWs and its implementation</t>
  </si>
  <si>
    <t>Quality Assurance plan reccomendation</t>
  </si>
  <si>
    <t>P8.7</t>
  </si>
  <si>
    <t>P8.8</t>
  </si>
  <si>
    <t>Dissemination/Exploitation. Dissemination/Exploitation</t>
  </si>
  <si>
    <t>Inner TSIF project team meetings, Project coordination and management action support. Support for preparation to SWs and its implementation</t>
  </si>
  <si>
    <t>P3.11</t>
  </si>
  <si>
    <t>P3.12</t>
  </si>
  <si>
    <t>P3.13</t>
  </si>
  <si>
    <t>P3.14</t>
  </si>
  <si>
    <t>P3.15</t>
  </si>
  <si>
    <t>P5.21</t>
  </si>
  <si>
    <t>P5.22</t>
  </si>
  <si>
    <t>Preparation for the accreditation of the Master program. Support for preparation of the SWs. Action support dissemination of SW . SW in Turkmenistan support in implementation</t>
  </si>
  <si>
    <t>Technical support for professional network . Project web site and visual identity and social media, info allocation support. Articles and publications elaboration action support</t>
  </si>
  <si>
    <t>Support for project implementation plan. Participation in project internal communication with inner and interregional partners</t>
  </si>
  <si>
    <t>Handurdy Handurdyyev</t>
  </si>
  <si>
    <t>P7.5</t>
  </si>
  <si>
    <t>Revision/preparation of content materials. Observation of master subject. Preparation for the accreditation of the Master program. Participation in the English Training program. Preparation of curriculum presentation to stakeholders. Support for preparation to SWs and its implementation</t>
  </si>
  <si>
    <t>Project Newsletter and booklet preparation, dissemination. Promotion of the project professional network. Dissemination of the SW results . Articles and publications distribution</t>
  </si>
  <si>
    <t>Project coordination and management action support. Financial management, preparation of supporting documents</t>
  </si>
  <si>
    <t>Implementation of the Quality Plan</t>
  </si>
  <si>
    <t>P5.23</t>
  </si>
  <si>
    <t>P5.24</t>
  </si>
  <si>
    <t>P5.25</t>
  </si>
  <si>
    <t>P5.26</t>
  </si>
  <si>
    <t>P5.27</t>
  </si>
  <si>
    <t>Preparing to participate in an online meeting. Organization of the project team's work on the implementation of the project's tasks and work packages. Coordination of the team activities in achieving the main objectives of the project. Solving financial and administrative issues related to the distribution of work and remuneration. Organization of a seminar with the stakeholders of the master's program at the university. Creating a report on the project for the previous period.</t>
  </si>
  <si>
    <t>Participation in Degree program development and curriculum design. Development of the course content of the course "Project management" and collecting matrial to design the course. Development of the material of the course "Project management" and creating course content. Development of the course content of the course "International Markets and Marketing" and collecting matrial to design the course. Development of the material of the course "International Markets and Marketing" and creating course content..</t>
  </si>
  <si>
    <t xml:space="preserve">Communication with Stakeholders of the Project. Work on the creation an entrepreneurship center. Solving administrative and organizational issues. Organization of a seminar with the stakeholders of the master's program at the university. </t>
  </si>
  <si>
    <t>Collecting material to design the course "Supply Chain Management". Development of the material of the course "Supply Chain Management", working with course materials provided by European university. Collecting material to design the course "Financial Analys". Development of the material of the course "Financial Analys", working with course materials provided by European university.</t>
  </si>
  <si>
    <t>Collecting material to design the course "Strategic Management" and "Innovation Management". Collecting material to design the course "Production Planning and Control" and "Spatial Analysis"</t>
  </si>
  <si>
    <t>Coordinating English language training in blended modality. Teaching and English language trainings coordinating and coordinating online teaching on the platform OLS. Collecting material to design the course "Location of Production Facilities"</t>
  </si>
  <si>
    <t>Synchronous classes in pre-intermediate group a course of Speaking and listening, support of asynchronous work on OLS platform</t>
  </si>
  <si>
    <t>Implementation and quality assurance of the project</t>
  </si>
  <si>
    <t>TKM side Project coordination and management action support. Project management action support.</t>
  </si>
  <si>
    <t>Preparation for the Stakeholders workshop (WP 3.1.2., 5.7). Support for realisation the SW in Turkmenistan</t>
  </si>
  <si>
    <t>Zhanargul Kulmagamberova</t>
  </si>
  <si>
    <t>Aliya Akhmetova</t>
  </si>
  <si>
    <t>P13.1</t>
  </si>
  <si>
    <t>P14.1</t>
  </si>
  <si>
    <t>P14.2</t>
  </si>
  <si>
    <t>P14.3</t>
  </si>
  <si>
    <t>P14.4</t>
  </si>
  <si>
    <t>P1.2</t>
  </si>
  <si>
    <t>Administrative tasks of the project, colletion of information, monitoring and reviewing of project documentation. Monitoring of WP activities and Quality Assurance process.</t>
  </si>
  <si>
    <t>Monitoring and reviewing project's progress and implementation of project tasks. Ensuring traceability of actions, quality assurance process, meeting with academic project team.</t>
  </si>
  <si>
    <t>Internal communication and coordination with SEBLU administration. Commenting and contributing to the TIR. Evaluating and contributing to QA and Dissemination. Project staff meeting on training Asian partners in January 2022.</t>
  </si>
  <si>
    <t>Ensuring consistency of the format of the project activities, continuous monitoring of WP, ensuring traceability of actions, communication activities related to project management and financial managment. Meeting with the academic coordinator and with project assistant.</t>
  </si>
  <si>
    <t>Discussion about course materials with project partners. Adapting course materials for the subjects Strategic Management and Project Management. Preparation of exam questions. Preparation of course materials for the subject Business Models. Coordination of training for CA partners in January 2022. Academic planning of training.</t>
  </si>
  <si>
    <t>Mirzo Yusupov</t>
  </si>
  <si>
    <t>Muzafar Rahimov</t>
  </si>
  <si>
    <t>P13.2</t>
  </si>
  <si>
    <t>P13.3</t>
  </si>
  <si>
    <t>P13.4</t>
  </si>
  <si>
    <t>Ahror Jafarov</t>
  </si>
  <si>
    <t>Floriana Zucaro</t>
  </si>
  <si>
    <t>WP 5.5 Social media and communication - Editing and publishing on MIETC social media channels newsletter and information concerning events, meetings and milestones. WP 5.4 Web site and visual identity - Contant maintenance of the MIETC website.</t>
  </si>
  <si>
    <t>P4.19</t>
  </si>
  <si>
    <t>WP 1.2 Financial management and administration - Supporting project coordination and management actions</t>
  </si>
  <si>
    <t>P4.20</t>
  </si>
  <si>
    <t xml:space="preserve">WP 1.3 Project internal communication and coordination - Sharing information with other patners  </t>
  </si>
  <si>
    <t>WP 4.2 Periodical Reports - Implementation of the annual report. WP 4.1 Quality Plan - Defining quality assessment procedures and their implementation.</t>
  </si>
  <si>
    <t>P4.21</t>
  </si>
  <si>
    <t>P4.22</t>
  </si>
  <si>
    <t>P2.13</t>
  </si>
  <si>
    <t>Folding report on Stakeholders meeQng, providing jusQficaQons. Reviewing DisseminaQon report.</t>
  </si>
  <si>
    <t>Managing and organising Stakeholders meeQng in Kazakhstan and Tajikistan</t>
  </si>
  <si>
    <t>Developing materials. Subject: Innova'on Management. Unit: New Product Development. Tes'ng ideas</t>
  </si>
  <si>
    <t>P2.14</t>
  </si>
  <si>
    <t>Developing materials. Subject: Sustainable Entrepreneurship. Unit: Green supply chain management</t>
  </si>
  <si>
    <t>P2.15</t>
  </si>
  <si>
    <t xml:space="preserve">Organization and participation in the Stakeholders seminar in TSUC and TUT. Participation in Stakeholders seminar in KZ. </t>
  </si>
  <si>
    <t>P11.13</t>
  </si>
  <si>
    <t>Project internal comunication, participation in the discussion and development of joint master program.</t>
  </si>
  <si>
    <t>P11.14</t>
  </si>
  <si>
    <t>P11.15</t>
  </si>
  <si>
    <t>Development of curriculas. Organization and participation in the Stakeholders seminar in TSUC and TUT. Participation in Stakeholders seminar in KZ. Project internal comunication, participation in the discussion and development of joint master program.</t>
  </si>
  <si>
    <t>Farhod Sharopov</t>
  </si>
  <si>
    <t>S-P6.1</t>
  </si>
  <si>
    <t>S-P6.2</t>
  </si>
  <si>
    <t>S-P6.3</t>
  </si>
  <si>
    <t>Printing of promotial materials - A4 &amp; Large format (banner)</t>
  </si>
  <si>
    <t>Lingua Franca New</t>
  </si>
  <si>
    <t>WingPrintpro</t>
  </si>
  <si>
    <t>2 news items in local television (in KZ and RU) 1/2</t>
  </si>
  <si>
    <t>2 news items in local television (in KZ and RU) 2/2</t>
  </si>
  <si>
    <t>Simultaneous translation service RU to ENG 1/2</t>
  </si>
  <si>
    <t>Simultaneous translation service RU to ENG 2/2</t>
  </si>
  <si>
    <t>S-P9.1a</t>
  </si>
  <si>
    <t>S-P9.2a</t>
  </si>
  <si>
    <t>S-P9.1b</t>
  </si>
  <si>
    <t>S-P9.2b</t>
  </si>
  <si>
    <t>Content devlopment: Definition of objetives, competencies and aims of the subjects. Financial Analysis for Non-financial Specialists: Syllabus; Business Creation: Syllabus. Financial Analysis for Non-financial Specialists, modules 1, 2 and 3.. Business Creation, modules 1 and 2. Elaboation of Final exam and mini tasks recommendations; Elaboration of final exam contents and example questions;.</t>
  </si>
  <si>
    <t>Content devlopment: Business Creation, modules 2, 3 and 4. : Syllabus. Financial Analysis for Non-financial Specialists, modules 1, 2 and 3.. Business Creation, modules 1 and 2. Elaboation of Final exam and mini tasks recommendations; Elaboration of final exam contents and example questions;.</t>
  </si>
  <si>
    <t>Nailya Saifulina</t>
  </si>
  <si>
    <t>1.13</t>
  </si>
  <si>
    <t>1.14</t>
  </si>
  <si>
    <t>3.1.3 Content Development: Preparation of the materials for the course Production Planning and Control. 3.1.2 Curriculum presentation to stakeholders: Preparation of presentations and participation in KZ; TJ and TKM stakeholder workshops.</t>
  </si>
  <si>
    <t>1.15</t>
  </si>
  <si>
    <t>External evaluation 1/2</t>
  </si>
  <si>
    <t>S-P1.1</t>
  </si>
  <si>
    <t>USC</t>
  </si>
  <si>
    <t>ESTRATEGIA Y ORGANIZACION,S.A.</t>
  </si>
  <si>
    <t>Financial management and administration. Compiling and reviewing supporting documents from the Partners. Preparing consolidated budget reports. Producing financial statement. Preparation of the request for extension of the eligibility period of the project (justification and updated planning). Compiling information and drafting Technical Implementation Report</t>
  </si>
  <si>
    <t>Organization of the training of master subjects (invitation letters, contact with Embassies, logistics)</t>
  </si>
  <si>
    <t>Selection of the external evaluator and formalization of the contract. Quality Control and monitoring of the project's implementation and outputs.</t>
  </si>
  <si>
    <t>1.16</t>
  </si>
  <si>
    <t>1.17</t>
  </si>
  <si>
    <t>Updating the Work Plan. Day-to-day internal communication with Partners and project management. Organization and participation in Management Board, Academic Board and Dissemination Board meetings.</t>
  </si>
  <si>
    <t>Coordination and participation in stakeholder workshops.</t>
  </si>
  <si>
    <t>Meeting and communication with external evaluators and definition of External Evaluation methodology. Reviewing 1st external evaluation report and monitoring vistis feedback. Designing action plan for implementation of reccomendations.</t>
  </si>
  <si>
    <t>Karaganda University of Kazpotrebsouz (KarUK)</t>
  </si>
  <si>
    <t>KarUK</t>
  </si>
  <si>
    <t>Preparation, discussion and approval of organizational documents for the project,  Kick-off meeting of MIETC, Coordination of the working group on the passage of English courses, Experts for delphi KarUK, Online meetings</t>
  </si>
  <si>
    <t>36 (+12)</t>
  </si>
  <si>
    <t>DAYS REPORTED BY CATEGORY</t>
  </si>
  <si>
    <t>DAYS REPORTED BY WORKPACKAGE</t>
  </si>
  <si>
    <t>DAYS REPORTED AS RESEARCHER/TEACHER BY WP</t>
  </si>
  <si>
    <t>DAYS REPORTED AS MANAGER BY WP</t>
  </si>
  <si>
    <t>DAYS REPORTED AS TECHNICIAN BY WP</t>
  </si>
  <si>
    <t>DAYS REPORTED AS ADMINISTRATIVE BY WP</t>
  </si>
  <si>
    <t>S%</t>
  </si>
  <si>
    <t>S%2</t>
  </si>
  <si>
    <t>S%22</t>
  </si>
  <si>
    <t>S%222</t>
  </si>
  <si>
    <t>S%2222</t>
  </si>
  <si>
    <t>UNF</t>
  </si>
  <si>
    <t>East-Kazakhstan State Technical University (EKTSU)</t>
  </si>
  <si>
    <t>Karaganda Economic University of Kazpotrebsouz (KEUK)</t>
  </si>
  <si>
    <t>306.847,00 €</t>
  </si>
  <si>
    <t>198.150,00 €</t>
  </si>
  <si>
    <t>239.280,00 €</t>
  </si>
  <si>
    <t>39.777,00 €</t>
  </si>
  <si>
    <t>22.960,00 €</t>
  </si>
  <si>
    <t>807.014,00 €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</si>
</sst>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0.00\ &quot;€&quot;"/>
    <numFmt numFmtId="165" formatCode="0.0"/>
    <numFmt numFmtId="166" formatCode="0.0%"/>
    <numFmt numFmtId="167" formatCode="0.000"/>
  </numFmts>
  <fonts count="39" x14ac:knownFonts="1">
    <font>
      <sz val="11"/>
      <color theme="1"/>
      <name val="Calibri"/>
      <family val="2"/>
      <scheme val="minor"/>
    </font>
    <font>
      <sz val="11"/>
      <color theme="1"/>
      <name val="Calibri"/>
      <family val="2"/>
      <scheme val="minor"/>
    </font>
    <font>
      <sz val="10"/>
      <color theme="1"/>
      <name val="Calibri Light"/>
      <family val="2"/>
      <scheme val="major"/>
    </font>
    <font>
      <b/>
      <sz val="10"/>
      <color theme="1"/>
      <name val="Calibri Light"/>
      <family val="2"/>
      <scheme val="major"/>
    </font>
    <font>
      <b/>
      <sz val="11"/>
      <color theme="1"/>
      <name val="Calibri Light"/>
      <family val="2"/>
      <scheme val="major"/>
    </font>
    <font>
      <b/>
      <sz val="10"/>
      <color theme="0"/>
      <name val="Calibri Light"/>
      <family val="2"/>
      <scheme val="major"/>
    </font>
    <font>
      <b/>
      <sz val="11"/>
      <color theme="0"/>
      <name val="Calibri Light"/>
      <family val="2"/>
      <scheme val="major"/>
    </font>
    <font>
      <sz val="11"/>
      <color theme="1"/>
      <name val="Calibri Light"/>
      <family val="2"/>
      <scheme val="major"/>
    </font>
    <font>
      <b/>
      <sz val="9"/>
      <color theme="1"/>
      <name val="Calibri Light"/>
      <family val="2"/>
      <scheme val="major"/>
    </font>
    <font>
      <sz val="9"/>
      <color theme="1"/>
      <name val="Calibri Light"/>
      <family val="2"/>
      <scheme val="major"/>
    </font>
    <font>
      <sz val="9"/>
      <color theme="0"/>
      <name val="Calibri Light"/>
      <family val="2"/>
      <scheme val="major"/>
    </font>
    <font>
      <b/>
      <sz val="9"/>
      <color theme="0"/>
      <name val="Calibri Light"/>
      <family val="2"/>
      <scheme val="major"/>
    </font>
    <font>
      <sz val="9"/>
      <name val="Calibri Light"/>
      <family val="2"/>
      <scheme val="major"/>
    </font>
    <font>
      <sz val="8"/>
      <color theme="0"/>
      <name val="Calibri Light"/>
      <family val="2"/>
      <scheme val="major"/>
    </font>
    <font>
      <b/>
      <sz val="9"/>
      <color theme="1"/>
      <name val="Calibri Light"/>
      <family val="2"/>
    </font>
    <font>
      <sz val="9"/>
      <color theme="1"/>
      <name val="Calibri Light"/>
      <family val="2"/>
    </font>
    <font>
      <sz val="9"/>
      <color rgb="FFFF0000"/>
      <name val="Calibri Light"/>
      <family val="2"/>
      <scheme val="major"/>
    </font>
    <font>
      <sz val="8"/>
      <name val="Calibri"/>
      <family val="2"/>
      <scheme val="minor"/>
    </font>
    <font>
      <sz val="9"/>
      <color theme="1"/>
      <name val="Calibri Light"/>
      <family val="2"/>
      <scheme val="major"/>
    </font>
    <font>
      <sz val="9"/>
      <color theme="2" tint="-0.749992370372631"/>
      <name val="Calibri Light"/>
      <family val="2"/>
      <scheme val="major"/>
    </font>
    <font>
      <sz val="8"/>
      <color theme="1"/>
      <name val="Calibri Light"/>
      <family val="2"/>
      <scheme val="major"/>
    </font>
    <font>
      <b/>
      <sz val="11"/>
      <name val="Calibri Light"/>
      <family val="2"/>
      <scheme val="major"/>
    </font>
    <font>
      <b/>
      <sz val="11"/>
      <color theme="0"/>
      <name val="Calibri"/>
      <family val="2"/>
      <scheme val="minor"/>
    </font>
    <font>
      <b/>
      <sz val="11"/>
      <color theme="1"/>
      <name val="Calibri"/>
      <family val="2"/>
      <scheme val="minor"/>
    </font>
    <font>
      <sz val="9"/>
      <color theme="3" tint="-0.249977111117893"/>
      <name val="Calibri Light"/>
      <family val="2"/>
      <scheme val="major"/>
    </font>
    <font>
      <b/>
      <sz val="11"/>
      <color theme="1" tint="0.249977111117893"/>
      <name val="Calibri"/>
      <family val="2"/>
      <scheme val="minor"/>
    </font>
    <font>
      <b/>
      <sz val="11"/>
      <name val="Calibri"/>
      <family val="2"/>
      <scheme val="minor"/>
    </font>
    <font>
      <sz val="11"/>
      <name val="Calibri"/>
      <family val="2"/>
      <scheme val="minor"/>
    </font>
    <font>
      <sz val="9"/>
      <color theme="1"/>
      <name val="Calibri Light"/>
      <family val="2"/>
      <scheme val="major"/>
    </font>
    <font>
      <sz val="10"/>
      <color theme="5"/>
      <name val="Calibri Light"/>
      <family val="2"/>
      <scheme val="major"/>
    </font>
    <font>
      <sz val="9"/>
      <color theme="1"/>
      <name val="Calibri Light"/>
      <family val="2"/>
      <scheme val="major"/>
    </font>
    <font>
      <sz val="10"/>
      <color theme="1"/>
      <name val="Calibri"/>
      <family val="2"/>
      <scheme val="minor"/>
    </font>
    <font>
      <sz val="9"/>
      <color theme="1"/>
      <name val="Calibri Light"/>
      <family val="2"/>
      <scheme val="major"/>
    </font>
    <font>
      <sz val="9"/>
      <color theme="1"/>
      <name val="Calibri Light"/>
      <family val="2"/>
      <scheme val="major"/>
    </font>
    <font>
      <sz val="9"/>
      <color theme="1"/>
      <name val="Calibri Light"/>
      <family val="2"/>
      <scheme val="major"/>
    </font>
    <font>
      <sz val="11"/>
      <name val="Calibri Light"/>
      <family val="2"/>
      <scheme val="major"/>
    </font>
    <font>
      <b/>
      <sz val="10"/>
      <name val="Calibri Light"/>
      <family val="2"/>
      <scheme val="major"/>
    </font>
    <font>
      <b/>
      <sz val="11"/>
      <color theme="7" tint="0.59999389629810485"/>
      <name val="Calibri Light"/>
      <family val="2"/>
      <scheme val="major"/>
    </font>
    <font>
      <sz val="10"/>
      <color theme="4" tint="-0.249977111117893"/>
      <name val="Calibri Light"/>
      <family val="2"/>
      <scheme val="major"/>
    </font>
  </fonts>
  <fills count="15">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249977111117893"/>
        <bgColor indexed="64"/>
      </patternFill>
    </fill>
    <fill>
      <patternFill patternType="solid">
        <fgColor rgb="FFECC444"/>
        <bgColor indexed="64"/>
      </patternFill>
    </fill>
    <fill>
      <patternFill patternType="solid">
        <fgColor theme="0" tint="-0.249977111117893"/>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bottom style="double">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72">
    <xf numFmtId="0" fontId="0" fillId="0" borderId="0" xfId="0"/>
    <xf numFmtId="44" fontId="2" fillId="2" borderId="0" xfId="2" applyFont="1" applyFill="1" applyBorder="1"/>
    <xf numFmtId="0" fontId="7" fillId="2" borderId="0" xfId="0" applyFont="1" applyFill="1" applyBorder="1"/>
    <xf numFmtId="0" fontId="3" fillId="2" borderId="0" xfId="0" applyFont="1" applyFill="1" applyBorder="1" applyAlignment="1"/>
    <xf numFmtId="44" fontId="3" fillId="2" borderId="0" xfId="2" applyFont="1" applyFill="1" applyBorder="1"/>
    <xf numFmtId="0" fontId="2" fillId="2" borderId="0" xfId="0" applyFont="1" applyFill="1" applyBorder="1" applyAlignment="1">
      <alignment horizontal="right"/>
    </xf>
    <xf numFmtId="165" fontId="2" fillId="2" borderId="0" xfId="0" applyNumberFormat="1" applyFont="1" applyFill="1" applyBorder="1"/>
    <xf numFmtId="0" fontId="7" fillId="2" borderId="0" xfId="0" applyFont="1" applyFill="1" applyBorder="1" applyAlignment="1">
      <alignment horizontal="center"/>
    </xf>
    <xf numFmtId="0" fontId="7" fillId="2" borderId="0" xfId="0" applyFont="1" applyFill="1" applyBorder="1" applyAlignment="1">
      <alignment wrapText="1"/>
    </xf>
    <xf numFmtId="164" fontId="2" fillId="2" borderId="5" xfId="0" applyNumberFormat="1" applyFont="1" applyFill="1" applyBorder="1"/>
    <xf numFmtId="0" fontId="2" fillId="2" borderId="5" xfId="0" applyFont="1" applyFill="1" applyBorder="1"/>
    <xf numFmtId="164" fontId="2" fillId="2" borderId="21" xfId="0" applyNumberFormat="1" applyFont="1" applyFill="1" applyBorder="1"/>
    <xf numFmtId="0" fontId="8" fillId="2" borderId="5" xfId="0" applyFont="1" applyFill="1" applyBorder="1"/>
    <xf numFmtId="0" fontId="3" fillId="2" borderId="9"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2" xfId="0" applyFont="1" applyFill="1" applyBorder="1" applyAlignment="1">
      <alignment horizontal="center"/>
    </xf>
    <xf numFmtId="0" fontId="5" fillId="4" borderId="3" xfId="0" applyFont="1" applyFill="1" applyBorder="1" applyAlignment="1"/>
    <xf numFmtId="0" fontId="3" fillId="2" borderId="4" xfId="0" applyFont="1" applyFill="1" applyBorder="1" applyAlignment="1">
      <alignment horizontal="right"/>
    </xf>
    <xf numFmtId="44" fontId="2" fillId="2" borderId="6" xfId="2" applyFont="1" applyFill="1" applyBorder="1"/>
    <xf numFmtId="44" fontId="2" fillId="2" borderId="9" xfId="2" applyFont="1" applyFill="1" applyBorder="1"/>
    <xf numFmtId="0" fontId="3" fillId="2" borderId="22" xfId="0" applyFont="1" applyFill="1" applyBorder="1" applyAlignment="1">
      <alignment horizontal="right"/>
    </xf>
    <xf numFmtId="0" fontId="8" fillId="2" borderId="21" xfId="0" applyFont="1" applyFill="1" applyBorder="1"/>
    <xf numFmtId="0" fontId="5" fillId="4" borderId="17" xfId="0" applyFont="1" applyFill="1" applyBorder="1"/>
    <xf numFmtId="0" fontId="5" fillId="4" borderId="23" xfId="0" applyFont="1" applyFill="1" applyBorder="1"/>
    <xf numFmtId="0" fontId="5" fillId="4" borderId="10"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14" fontId="7" fillId="2" borderId="22" xfId="0" applyNumberFormat="1" applyFont="1" applyFill="1" applyBorder="1" applyAlignment="1">
      <alignment horizontal="center"/>
    </xf>
    <xf numFmtId="14" fontId="7" fillId="2" borderId="21" xfId="0" applyNumberFormat="1" applyFont="1" applyFill="1" applyBorder="1" applyAlignment="1">
      <alignment horizontal="center"/>
    </xf>
    <xf numFmtId="14" fontId="7" fillId="2" borderId="25" xfId="0" applyNumberFormat="1" applyFont="1" applyFill="1" applyBorder="1" applyAlignment="1">
      <alignment horizontal="center"/>
    </xf>
    <xf numFmtId="44" fontId="7" fillId="2" borderId="24" xfId="2" applyFont="1" applyFill="1" applyBorder="1" applyAlignment="1">
      <alignment horizontal="center"/>
    </xf>
    <xf numFmtId="9" fontId="5" fillId="4" borderId="14" xfId="1" applyFont="1" applyFill="1" applyBorder="1" applyAlignment="1">
      <alignment horizontal="center"/>
    </xf>
    <xf numFmtId="9" fontId="5" fillId="4" borderId="12" xfId="1" applyFont="1" applyFill="1" applyBorder="1" applyAlignment="1">
      <alignment horizontal="center"/>
    </xf>
    <xf numFmtId="9" fontId="5" fillId="4" borderId="13" xfId="1" applyFont="1" applyFill="1" applyBorder="1" applyAlignment="1">
      <alignment horizontal="center"/>
    </xf>
    <xf numFmtId="0" fontId="9" fillId="4" borderId="0" xfId="0" applyFont="1" applyFill="1" applyAlignment="1">
      <alignment horizontal="center" vertical="center" wrapText="1"/>
    </xf>
    <xf numFmtId="0" fontId="9" fillId="2" borderId="0" xfId="0" applyFont="1" applyFill="1"/>
    <xf numFmtId="44" fontId="9" fillId="2" borderId="0" xfId="2" applyFont="1" applyFill="1"/>
    <xf numFmtId="0" fontId="9" fillId="2" borderId="0" xfId="0" applyFont="1" applyFill="1" applyAlignment="1">
      <alignment horizontal="center" vertical="center" wrapText="1"/>
    </xf>
    <xf numFmtId="0" fontId="9" fillId="2" borderId="0" xfId="0" applyFont="1" applyFill="1" applyBorder="1"/>
    <xf numFmtId="0" fontId="11" fillId="4" borderId="5" xfId="0" applyFont="1" applyFill="1" applyBorder="1" applyAlignment="1">
      <alignment horizontal="center"/>
    </xf>
    <xf numFmtId="0" fontId="12" fillId="2" borderId="5" xfId="0" applyFont="1" applyFill="1" applyBorder="1" applyAlignment="1">
      <alignment horizontal="left"/>
    </xf>
    <xf numFmtId="44" fontId="12" fillId="2" borderId="5" xfId="2" applyFont="1" applyFill="1" applyBorder="1" applyAlignment="1">
      <alignment horizontal="right"/>
    </xf>
    <xf numFmtId="44" fontId="9" fillId="2" borderId="0" xfId="2" applyFont="1" applyFill="1" applyBorder="1"/>
    <xf numFmtId="0" fontId="9" fillId="2" borderId="5" xfId="0" applyFont="1" applyFill="1" applyBorder="1"/>
    <xf numFmtId="44" fontId="9" fillId="2" borderId="5" xfId="2" applyFont="1" applyFill="1" applyBorder="1"/>
    <xf numFmtId="0" fontId="11" fillId="4" borderId="5" xfId="0" applyFont="1" applyFill="1" applyBorder="1" applyAlignment="1">
      <alignment horizontal="center" vertical="center"/>
    </xf>
    <xf numFmtId="0" fontId="9" fillId="2" borderId="5" xfId="0" applyFont="1" applyFill="1" applyBorder="1" applyAlignment="1">
      <alignment vertical="center"/>
    </xf>
    <xf numFmtId="0" fontId="9" fillId="2" borderId="5" xfId="0" applyFont="1" applyFill="1" applyBorder="1" applyAlignment="1">
      <alignment horizontal="left" vertical="center"/>
    </xf>
    <xf numFmtId="14" fontId="3" fillId="2" borderId="7" xfId="0" applyNumberFormat="1" applyFont="1" applyFill="1" applyBorder="1" applyAlignment="1">
      <alignment horizontal="center" vertical="center"/>
    </xf>
    <xf numFmtId="14" fontId="3" fillId="2" borderId="8" xfId="0" applyNumberFormat="1" applyFont="1" applyFill="1" applyBorder="1" applyAlignment="1">
      <alignment horizontal="center" vertical="center"/>
    </xf>
    <xf numFmtId="44" fontId="9" fillId="2" borderId="0" xfId="2" applyFont="1" applyFill="1" applyBorder="1" applyAlignment="1">
      <alignment horizontal="center"/>
    </xf>
    <xf numFmtId="0" fontId="14" fillId="2" borderId="5" xfId="0" applyFont="1" applyFill="1" applyBorder="1" applyAlignment="1"/>
    <xf numFmtId="44" fontId="15" fillId="2" borderId="5" xfId="2" applyFont="1" applyFill="1" applyBorder="1" applyAlignment="1">
      <alignment horizontal="center"/>
    </xf>
    <xf numFmtId="0" fontId="14" fillId="2" borderId="5" xfId="0" applyFont="1" applyFill="1" applyBorder="1"/>
    <xf numFmtId="0" fontId="14" fillId="2" borderId="5" xfId="0" applyFont="1" applyFill="1" applyBorder="1" applyAlignment="1">
      <alignment horizontal="left"/>
    </xf>
    <xf numFmtId="0" fontId="10" fillId="2" borderId="0" xfId="0" applyFont="1" applyFill="1" applyBorder="1"/>
    <xf numFmtId="0" fontId="2" fillId="2" borderId="5" xfId="0" applyFont="1" applyFill="1" applyBorder="1" applyAlignment="1">
      <alignment horizontal="center"/>
    </xf>
    <xf numFmtId="0" fontId="2" fillId="2" borderId="30" xfId="0" applyFont="1" applyFill="1" applyBorder="1"/>
    <xf numFmtId="0" fontId="2" fillId="2" borderId="29" xfId="0" applyFont="1" applyFill="1" applyBorder="1" applyAlignment="1">
      <alignment horizontal="center"/>
    </xf>
    <xf numFmtId="164" fontId="2" fillId="2" borderId="5" xfId="0" applyNumberFormat="1" applyFont="1" applyFill="1" applyBorder="1" applyAlignment="1">
      <alignment horizontal="right"/>
    </xf>
    <xf numFmtId="164" fontId="2" fillId="5" borderId="5" xfId="0" applyNumberFormat="1" applyFont="1" applyFill="1" applyBorder="1" applyAlignment="1">
      <alignment horizontal="right"/>
    </xf>
    <xf numFmtId="164" fontId="2" fillId="5" borderId="17" xfId="0" applyNumberFormat="1" applyFont="1" applyFill="1" applyBorder="1" applyAlignment="1">
      <alignment horizontal="right"/>
    </xf>
    <xf numFmtId="0" fontId="18" fillId="2" borderId="5" xfId="0" applyFont="1" applyFill="1" applyBorder="1"/>
    <xf numFmtId="44" fontId="18" fillId="2" borderId="5" xfId="2" applyNumberFormat="1" applyFont="1" applyFill="1" applyBorder="1"/>
    <xf numFmtId="0" fontId="19" fillId="7" borderId="5" xfId="0" applyFont="1" applyFill="1" applyBorder="1"/>
    <xf numFmtId="44" fontId="19" fillId="7" borderId="5" xfId="2" applyFont="1" applyFill="1" applyBorder="1"/>
    <xf numFmtId="44" fontId="19" fillId="7" borderId="5" xfId="2" applyNumberFormat="1" applyFont="1" applyFill="1" applyBorder="1"/>
    <xf numFmtId="0" fontId="19" fillId="7" borderId="5" xfId="0" applyFont="1" applyFill="1" applyBorder="1" applyAlignment="1">
      <alignment horizontal="center"/>
    </xf>
    <xf numFmtId="44" fontId="9" fillId="2" borderId="5" xfId="2" applyNumberFormat="1" applyFont="1" applyFill="1" applyBorder="1"/>
    <xf numFmtId="0" fontId="16" fillId="2" borderId="5" xfId="0" applyFont="1" applyFill="1" applyBorder="1"/>
    <xf numFmtId="0" fontId="13" fillId="4" borderId="0" xfId="0" applyFont="1" applyFill="1" applyAlignment="1">
      <alignment horizontal="center" vertical="center" wrapText="1"/>
    </xf>
    <xf numFmtId="44" fontId="13" fillId="4" borderId="0" xfId="2" applyFont="1" applyFill="1" applyAlignment="1">
      <alignment horizontal="center" vertical="center" wrapText="1"/>
    </xf>
    <xf numFmtId="0" fontId="20" fillId="2" borderId="0" xfId="0" applyFont="1" applyFill="1" applyAlignment="1">
      <alignment horizontal="center" vertical="center" wrapText="1"/>
    </xf>
    <xf numFmtId="0" fontId="9" fillId="2" borderId="5" xfId="0" applyFont="1" applyFill="1" applyBorder="1" applyAlignment="1">
      <alignment horizontal="center"/>
    </xf>
    <xf numFmtId="0" fontId="18" fillId="2" borderId="5" xfId="0" applyFont="1" applyFill="1" applyBorder="1" applyAlignment="1">
      <alignment horizontal="center"/>
    </xf>
    <xf numFmtId="0" fontId="9" fillId="2" borderId="0" xfId="0" applyFont="1" applyFill="1" applyAlignment="1">
      <alignment horizontal="center"/>
    </xf>
    <xf numFmtId="14" fontId="9" fillId="2" borderId="5" xfId="0" applyNumberFormat="1" applyFont="1" applyFill="1" applyBorder="1" applyAlignment="1">
      <alignment horizontal="center"/>
    </xf>
    <xf numFmtId="14" fontId="18" fillId="2" borderId="5" xfId="0" applyNumberFormat="1" applyFont="1" applyFill="1" applyBorder="1" applyAlignment="1">
      <alignment horizontal="center"/>
    </xf>
    <xf numFmtId="14" fontId="19" fillId="7" borderId="5" xfId="0" applyNumberFormat="1" applyFont="1" applyFill="1" applyBorder="1" applyAlignment="1">
      <alignment horizontal="center"/>
    </xf>
    <xf numFmtId="0" fontId="9" fillId="3" borderId="5" xfId="0" applyFont="1" applyFill="1" applyBorder="1"/>
    <xf numFmtId="0" fontId="9" fillId="3" borderId="5" xfId="0" applyFont="1" applyFill="1" applyBorder="1" applyAlignment="1">
      <alignment horizontal="center"/>
    </xf>
    <xf numFmtId="44" fontId="9" fillId="3" borderId="5" xfId="0" applyNumberFormat="1" applyFont="1" applyFill="1" applyBorder="1"/>
    <xf numFmtId="0" fontId="0" fillId="0" borderId="0" xfId="0" applyAlignment="1">
      <alignment horizontal="center"/>
    </xf>
    <xf numFmtId="0" fontId="22" fillId="7" borderId="0" xfId="0" applyFont="1" applyFill="1" applyAlignment="1">
      <alignment horizontal="center"/>
    </xf>
    <xf numFmtId="0" fontId="23" fillId="2" borderId="0" xfId="0" applyFont="1" applyFill="1"/>
    <xf numFmtId="0" fontId="23" fillId="10" borderId="0" xfId="0" applyFont="1" applyFill="1"/>
    <xf numFmtId="0" fontId="9" fillId="4" borderId="5" xfId="0" applyFont="1" applyFill="1" applyBorder="1" applyAlignment="1">
      <alignment horizontal="center" vertical="center" wrapText="1"/>
    </xf>
    <xf numFmtId="0" fontId="9" fillId="7" borderId="5" xfId="0" applyFont="1" applyFill="1" applyBorder="1"/>
    <xf numFmtId="0" fontId="9" fillId="2" borderId="5" xfId="0" applyFont="1" applyFill="1" applyBorder="1" applyAlignment="1"/>
    <xf numFmtId="0" fontId="9" fillId="7" borderId="5" xfId="0" applyFont="1" applyFill="1" applyBorder="1" applyAlignment="1">
      <alignment horizontal="center"/>
    </xf>
    <xf numFmtId="0" fontId="18" fillId="2" borderId="18" xfId="0" applyFont="1" applyFill="1" applyBorder="1"/>
    <xf numFmtId="0" fontId="18" fillId="2" borderId="5" xfId="0" applyFont="1" applyFill="1" applyBorder="1" applyAlignment="1"/>
    <xf numFmtId="0" fontId="9" fillId="2" borderId="18" xfId="0" applyFont="1" applyFill="1" applyBorder="1"/>
    <xf numFmtId="14" fontId="9" fillId="2" borderId="5" xfId="0" applyNumberFormat="1" applyFont="1" applyFill="1" applyBorder="1" applyAlignment="1">
      <alignment horizontal="left"/>
    </xf>
    <xf numFmtId="0" fontId="9" fillId="0" borderId="5" xfId="0" applyFont="1" applyFill="1" applyBorder="1"/>
    <xf numFmtId="0" fontId="8" fillId="2" borderId="0" xfId="0" applyFont="1" applyFill="1" applyBorder="1"/>
    <xf numFmtId="164" fontId="9" fillId="4" borderId="5" xfId="0" applyNumberFormat="1" applyFont="1" applyFill="1" applyBorder="1" applyAlignment="1">
      <alignment horizontal="center" vertical="center" wrapText="1"/>
    </xf>
    <xf numFmtId="164" fontId="9" fillId="2" borderId="5" xfId="0" applyNumberFormat="1" applyFont="1" applyFill="1" applyBorder="1"/>
    <xf numFmtId="164" fontId="18" fillId="2" borderId="5" xfId="0" applyNumberFormat="1" applyFont="1" applyFill="1" applyBorder="1"/>
    <xf numFmtId="0" fontId="24" fillId="7" borderId="5" xfId="0" applyFont="1" applyFill="1" applyBorder="1"/>
    <xf numFmtId="164" fontId="24" fillId="7" borderId="5" xfId="0" applyNumberFormat="1" applyFont="1" applyFill="1" applyBorder="1"/>
    <xf numFmtId="0" fontId="9" fillId="11" borderId="5" xfId="0" applyFont="1" applyFill="1" applyBorder="1"/>
    <xf numFmtId="0" fontId="9" fillId="11" borderId="5" xfId="0" applyFont="1" applyFill="1" applyBorder="1" applyAlignment="1">
      <alignment horizontal="center"/>
    </xf>
    <xf numFmtId="164" fontId="9" fillId="11" borderId="5" xfId="0" applyNumberFormat="1" applyFont="1" applyFill="1" applyBorder="1"/>
    <xf numFmtId="0" fontId="0" fillId="2" borderId="0" xfId="0" applyFill="1" applyBorder="1" applyAlignment="1">
      <alignment horizontal="center"/>
    </xf>
    <xf numFmtId="0" fontId="0" fillId="10" borderId="0" xfId="0" applyFill="1" applyBorder="1" applyAlignment="1">
      <alignment horizontal="center"/>
    </xf>
    <xf numFmtId="0" fontId="0" fillId="2" borderId="35" xfId="0" applyFill="1" applyBorder="1" applyAlignment="1">
      <alignment horizontal="center"/>
    </xf>
    <xf numFmtId="0" fontId="0" fillId="10" borderId="35" xfId="0" applyFill="1" applyBorder="1" applyAlignment="1">
      <alignment horizontal="center"/>
    </xf>
    <xf numFmtId="0" fontId="0" fillId="10" borderId="32" xfId="0" applyFill="1" applyBorder="1" applyAlignment="1">
      <alignment horizontal="center"/>
    </xf>
    <xf numFmtId="0" fontId="0" fillId="2" borderId="37" xfId="0" applyFill="1" applyBorder="1" applyAlignment="1">
      <alignment horizontal="center"/>
    </xf>
    <xf numFmtId="0" fontId="0" fillId="10" borderId="37" xfId="0" applyFill="1" applyBorder="1" applyAlignment="1">
      <alignment horizontal="center"/>
    </xf>
    <xf numFmtId="0" fontId="25" fillId="2" borderId="36" xfId="0" applyFont="1" applyFill="1" applyBorder="1" applyAlignment="1">
      <alignment horizontal="center"/>
    </xf>
    <xf numFmtId="0" fontId="25" fillId="10" borderId="36" xfId="0" applyFont="1" applyFill="1" applyBorder="1" applyAlignment="1">
      <alignment horizontal="center"/>
    </xf>
    <xf numFmtId="0" fontId="25" fillId="2" borderId="20" xfId="0" applyFont="1" applyFill="1" applyBorder="1" applyAlignment="1">
      <alignment horizontal="center"/>
    </xf>
    <xf numFmtId="0" fontId="25" fillId="10" borderId="20" xfId="0" applyFont="1" applyFill="1" applyBorder="1" applyAlignment="1">
      <alignment horizontal="center"/>
    </xf>
    <xf numFmtId="0" fontId="25" fillId="10" borderId="31" xfId="0" applyFont="1" applyFill="1" applyBorder="1" applyAlignment="1">
      <alignment horizontal="center"/>
    </xf>
    <xf numFmtId="165" fontId="0" fillId="2" borderId="37" xfId="0" applyNumberFormat="1" applyFill="1" applyBorder="1" applyAlignment="1">
      <alignment horizontal="center"/>
    </xf>
    <xf numFmtId="165" fontId="0" fillId="10" borderId="37" xfId="0" applyNumberFormat="1" applyFill="1" applyBorder="1" applyAlignment="1">
      <alignment horizontal="center"/>
    </xf>
    <xf numFmtId="0" fontId="22" fillId="7" borderId="19" xfId="0" applyFont="1" applyFill="1" applyBorder="1" applyAlignment="1">
      <alignment horizontal="center"/>
    </xf>
    <xf numFmtId="0" fontId="23" fillId="2" borderId="19" xfId="0" applyFont="1" applyFill="1" applyBorder="1"/>
    <xf numFmtId="0" fontId="23" fillId="10" borderId="19" xfId="0" applyFont="1" applyFill="1" applyBorder="1"/>
    <xf numFmtId="0" fontId="23" fillId="10" borderId="28" xfId="0" applyFont="1" applyFill="1" applyBorder="1"/>
    <xf numFmtId="0" fontId="22" fillId="12" borderId="38" xfId="0" applyFont="1" applyFill="1" applyBorder="1" applyAlignment="1">
      <alignment horizontal="center"/>
    </xf>
    <xf numFmtId="0" fontId="22" fillId="12" borderId="39" xfId="0" applyFont="1" applyFill="1" applyBorder="1" applyAlignment="1">
      <alignment horizontal="center"/>
    </xf>
    <xf numFmtId="0" fontId="0" fillId="0" borderId="0" xfId="0" applyFill="1"/>
    <xf numFmtId="0" fontId="23" fillId="10" borderId="41" xfId="0" applyFont="1" applyFill="1" applyBorder="1"/>
    <xf numFmtId="0" fontId="25" fillId="10" borderId="42" xfId="0" applyFont="1" applyFill="1" applyBorder="1" applyAlignment="1">
      <alignment horizontal="center"/>
    </xf>
    <xf numFmtId="0" fontId="0" fillId="10" borderId="43" xfId="0" applyFill="1" applyBorder="1" applyAlignment="1">
      <alignment horizontal="center"/>
    </xf>
    <xf numFmtId="0" fontId="0" fillId="10" borderId="41" xfId="0" applyFill="1" applyBorder="1" applyAlignment="1">
      <alignment horizontal="center"/>
    </xf>
    <xf numFmtId="0" fontId="25" fillId="10" borderId="44" xfId="0" applyFont="1" applyFill="1" applyBorder="1" applyAlignment="1">
      <alignment horizontal="center"/>
    </xf>
    <xf numFmtId="0" fontId="0" fillId="10" borderId="40" xfId="0" applyFill="1" applyBorder="1" applyAlignment="1">
      <alignment horizontal="center"/>
    </xf>
    <xf numFmtId="165" fontId="0" fillId="10" borderId="40" xfId="0" applyNumberFormat="1" applyFill="1" applyBorder="1" applyAlignment="1">
      <alignment horizontal="center"/>
    </xf>
    <xf numFmtId="0" fontId="0" fillId="0" borderId="45" xfId="0" applyFill="1" applyBorder="1"/>
    <xf numFmtId="2" fontId="26" fillId="0" borderId="45" xfId="1" applyNumberFormat="1" applyFont="1" applyFill="1" applyBorder="1" applyAlignment="1">
      <alignment horizontal="center"/>
    </xf>
    <xf numFmtId="0" fontId="0" fillId="0" borderId="46" xfId="0" applyFill="1" applyBorder="1" applyAlignment="1">
      <alignment horizontal="right"/>
    </xf>
    <xf numFmtId="2" fontId="26" fillId="0" borderId="48" xfId="1" applyNumberFormat="1" applyFont="1" applyFill="1" applyBorder="1" applyAlignment="1">
      <alignment horizontal="center"/>
    </xf>
    <xf numFmtId="0" fontId="0" fillId="0" borderId="49" xfId="0" applyFill="1" applyBorder="1"/>
    <xf numFmtId="0" fontId="0" fillId="0" borderId="50" xfId="0" applyFill="1" applyBorder="1" applyAlignment="1">
      <alignment horizontal="right"/>
    </xf>
    <xf numFmtId="0" fontId="0" fillId="0" borderId="47" xfId="0" applyFill="1" applyBorder="1"/>
    <xf numFmtId="1" fontId="23" fillId="0" borderId="46" xfId="0" applyNumberFormat="1" applyFont="1" applyFill="1" applyBorder="1" applyAlignment="1">
      <alignment horizontal="center"/>
    </xf>
    <xf numFmtId="1" fontId="0" fillId="0" borderId="46" xfId="0" applyNumberFormat="1" applyFill="1" applyBorder="1" applyAlignment="1">
      <alignment horizontal="center"/>
    </xf>
    <xf numFmtId="1" fontId="27" fillId="0" borderId="48" xfId="1" applyNumberFormat="1" applyFont="1" applyFill="1" applyBorder="1" applyAlignment="1">
      <alignment horizontal="center"/>
    </xf>
    <xf numFmtId="0" fontId="22" fillId="13" borderId="39" xfId="0" applyFont="1" applyFill="1" applyBorder="1" applyAlignment="1">
      <alignment horizontal="center"/>
    </xf>
    <xf numFmtId="14" fontId="12" fillId="2" borderId="5" xfId="0" applyNumberFormat="1" applyFont="1" applyFill="1" applyBorder="1" applyAlignment="1">
      <alignment horizontal="center"/>
    </xf>
    <xf numFmtId="0" fontId="0" fillId="0" borderId="0" xfId="0"/>
    <xf numFmtId="0" fontId="28" fillId="2" borderId="18" xfId="0" applyFont="1" applyFill="1" applyBorder="1"/>
    <xf numFmtId="0" fontId="28" fillId="2" borderId="5" xfId="0" applyFont="1" applyFill="1" applyBorder="1"/>
    <xf numFmtId="0" fontId="28" fillId="2" borderId="5" xfId="0" applyFont="1" applyFill="1" applyBorder="1" applyAlignment="1">
      <alignment horizontal="center"/>
    </xf>
    <xf numFmtId="164" fontId="28" fillId="2" borderId="5" xfId="0" applyNumberFormat="1" applyFont="1" applyFill="1" applyBorder="1"/>
    <xf numFmtId="14" fontId="28" fillId="2" borderId="5" xfId="0" applyNumberFormat="1" applyFont="1" applyFill="1" applyBorder="1" applyAlignment="1">
      <alignment horizontal="center"/>
    </xf>
    <xf numFmtId="0" fontId="0" fillId="0" borderId="0" xfId="0"/>
    <xf numFmtId="8" fontId="9" fillId="2" borderId="0" xfId="0" applyNumberFormat="1" applyFont="1" applyFill="1"/>
    <xf numFmtId="2" fontId="9" fillId="2" borderId="0" xfId="0" applyNumberFormat="1" applyFont="1" applyFill="1" applyAlignment="1">
      <alignment horizontal="center"/>
    </xf>
    <xf numFmtId="164" fontId="9" fillId="2" borderId="0" xfId="0" applyNumberFormat="1" applyFont="1" applyFill="1" applyAlignment="1">
      <alignment horizontal="center"/>
    </xf>
    <xf numFmtId="164" fontId="16" fillId="2" borderId="0" xfId="0" applyNumberFormat="1" applyFont="1" applyFill="1" applyAlignment="1">
      <alignment horizontal="center"/>
    </xf>
    <xf numFmtId="0" fontId="30" fillId="2" borderId="18" xfId="0" applyFont="1" applyFill="1" applyBorder="1"/>
    <xf numFmtId="0" fontId="30" fillId="2" borderId="5" xfId="0" applyFont="1" applyFill="1" applyBorder="1"/>
    <xf numFmtId="0" fontId="30" fillId="2" borderId="5" xfId="0" applyFont="1" applyFill="1" applyBorder="1" applyAlignment="1">
      <alignment horizontal="center"/>
    </xf>
    <xf numFmtId="164" fontId="30" fillId="2" borderId="5" xfId="0" applyNumberFormat="1" applyFont="1" applyFill="1" applyBorder="1"/>
    <xf numFmtId="14" fontId="30" fillId="2" borderId="5" xfId="0" applyNumberFormat="1" applyFont="1" applyFill="1" applyBorder="1" applyAlignment="1">
      <alignment horizontal="center"/>
    </xf>
    <xf numFmtId="14" fontId="31" fillId="0" borderId="0" xfId="0" applyNumberFormat="1" applyFont="1"/>
    <xf numFmtId="14" fontId="30" fillId="2" borderId="5" xfId="0" applyNumberFormat="1" applyFont="1" applyFill="1" applyBorder="1" applyAlignment="1">
      <alignment horizontal="left"/>
    </xf>
    <xf numFmtId="14" fontId="30" fillId="0" borderId="5" xfId="0" applyNumberFormat="1" applyFont="1" applyFill="1" applyBorder="1" applyAlignment="1">
      <alignment horizontal="left"/>
    </xf>
    <xf numFmtId="0" fontId="0" fillId="0" borderId="0" xfId="0" quotePrefix="1"/>
    <xf numFmtId="166" fontId="2" fillId="2" borderId="5" xfId="1" applyNumberFormat="1" applyFont="1" applyFill="1" applyBorder="1" applyAlignment="1">
      <alignment horizontal="center"/>
    </xf>
    <xf numFmtId="166" fontId="2" fillId="2" borderId="8" xfId="1" applyNumberFormat="1" applyFont="1" applyFill="1" applyBorder="1" applyAlignment="1">
      <alignment horizontal="center"/>
    </xf>
    <xf numFmtId="0" fontId="0" fillId="0" borderId="0" xfId="0"/>
    <xf numFmtId="9" fontId="7" fillId="2" borderId="26" xfId="1" applyFont="1" applyFill="1" applyBorder="1" applyAlignment="1">
      <alignment horizontal="center"/>
    </xf>
    <xf numFmtId="9" fontId="3" fillId="9" borderId="11" xfId="1" applyFont="1" applyFill="1" applyBorder="1" applyAlignment="1">
      <alignment horizontal="center"/>
    </xf>
    <xf numFmtId="44" fontId="7" fillId="2" borderId="27" xfId="2" applyFont="1" applyFill="1" applyBorder="1" applyAlignment="1">
      <alignment horizontal="center"/>
    </xf>
    <xf numFmtId="164" fontId="7" fillId="2" borderId="26" xfId="2" applyNumberFormat="1" applyFont="1" applyFill="1" applyBorder="1" applyAlignment="1">
      <alignment horizontal="center" vertical="center"/>
    </xf>
    <xf numFmtId="164" fontId="7" fillId="2" borderId="24" xfId="2" applyNumberFormat="1" applyFont="1" applyFill="1" applyBorder="1" applyAlignment="1">
      <alignment horizontal="center"/>
    </xf>
    <xf numFmtId="164" fontId="7" fillId="2" borderId="27" xfId="2" applyNumberFormat="1" applyFont="1" applyFill="1" applyBorder="1" applyAlignment="1">
      <alignment horizontal="center"/>
    </xf>
    <xf numFmtId="164" fontId="2" fillId="2" borderId="5" xfId="2" applyNumberFormat="1" applyFont="1" applyFill="1" applyBorder="1" applyAlignment="1"/>
    <xf numFmtId="164" fontId="2" fillId="2" borderId="8" xfId="2" applyNumberFormat="1" applyFont="1" applyFill="1" applyBorder="1" applyAlignment="1"/>
    <xf numFmtId="164" fontId="3" fillId="9" borderId="11" xfId="1" applyNumberFormat="1" applyFont="1" applyFill="1" applyBorder="1" applyAlignment="1"/>
    <xf numFmtId="0" fontId="0" fillId="2" borderId="0" xfId="0" applyFill="1"/>
    <xf numFmtId="0" fontId="12" fillId="2" borderId="5" xfId="0" applyFont="1" applyFill="1" applyBorder="1"/>
    <xf numFmtId="164" fontId="7" fillId="2" borderId="0" xfId="0" applyNumberFormat="1" applyFont="1" applyFill="1" applyBorder="1"/>
    <xf numFmtId="0" fontId="12" fillId="2" borderId="5" xfId="0" applyFont="1" applyFill="1" applyBorder="1" applyAlignment="1"/>
    <xf numFmtId="44" fontId="9" fillId="2" borderId="0" xfId="0" applyNumberFormat="1" applyFont="1" applyFill="1" applyBorder="1"/>
    <xf numFmtId="14" fontId="9" fillId="0" borderId="0" xfId="0" applyNumberFormat="1" applyFont="1"/>
    <xf numFmtId="4" fontId="9" fillId="2" borderId="0" xfId="0" applyNumberFormat="1" applyFont="1" applyFill="1" applyAlignment="1">
      <alignment horizontal="right"/>
    </xf>
    <xf numFmtId="164" fontId="9" fillId="2" borderId="0" xfId="0" applyNumberFormat="1" applyFont="1" applyFill="1"/>
    <xf numFmtId="14" fontId="9" fillId="2" borderId="0" xfId="0" applyNumberFormat="1" applyFont="1" applyFill="1" applyAlignment="1">
      <alignment horizontal="center"/>
    </xf>
    <xf numFmtId="8" fontId="16" fillId="2" borderId="0" xfId="0" applyNumberFormat="1" applyFont="1" applyFill="1"/>
    <xf numFmtId="0" fontId="0" fillId="0" borderId="0" xfId="0"/>
    <xf numFmtId="164" fontId="3" fillId="2" borderId="11" xfId="0" applyNumberFormat="1" applyFont="1" applyFill="1" applyBorder="1"/>
    <xf numFmtId="0" fontId="8" fillId="2" borderId="11" xfId="0" applyFont="1" applyFill="1" applyBorder="1"/>
    <xf numFmtId="0" fontId="3" fillId="2" borderId="11" xfId="0" applyFont="1" applyFill="1" applyBorder="1" applyAlignment="1">
      <alignment horizontal="right"/>
    </xf>
    <xf numFmtId="0" fontId="32" fillId="2" borderId="5" xfId="0" applyFont="1" applyFill="1" applyBorder="1"/>
    <xf numFmtId="0" fontId="12" fillId="2" borderId="18" xfId="0" applyFont="1" applyFill="1" applyBorder="1"/>
    <xf numFmtId="0" fontId="32" fillId="2" borderId="18" xfId="0" applyFont="1" applyFill="1" applyBorder="1"/>
    <xf numFmtId="0" fontId="32" fillId="2" borderId="5" xfId="0" applyFont="1" applyFill="1" applyBorder="1" applyAlignment="1"/>
    <xf numFmtId="14" fontId="32" fillId="2" borderId="5" xfId="0" applyNumberFormat="1" applyFont="1" applyFill="1" applyBorder="1" applyAlignment="1">
      <alignment horizontal="center"/>
    </xf>
    <xf numFmtId="0" fontId="9" fillId="2" borderId="0" xfId="0" applyFont="1" applyFill="1" applyAlignment="1"/>
    <xf numFmtId="164" fontId="32" fillId="2" borderId="5" xfId="0" applyNumberFormat="1" applyFont="1" applyFill="1" applyBorder="1"/>
    <xf numFmtId="14" fontId="32" fillId="2" borderId="5" xfId="0" applyNumberFormat="1" applyFont="1" applyFill="1" applyBorder="1" applyAlignment="1">
      <alignment horizontal="left"/>
    </xf>
    <xf numFmtId="14" fontId="9" fillId="0" borderId="5" xfId="0" applyNumberFormat="1" applyFont="1" applyFill="1" applyBorder="1" applyAlignment="1">
      <alignment horizontal="left"/>
    </xf>
    <xf numFmtId="0" fontId="33" fillId="2" borderId="18" xfId="0" applyFont="1" applyFill="1" applyBorder="1"/>
    <xf numFmtId="0" fontId="33" fillId="2" borderId="5" xfId="0" applyFont="1" applyFill="1" applyBorder="1"/>
    <xf numFmtId="0" fontId="33" fillId="2" borderId="5" xfId="0" applyFont="1" applyFill="1" applyBorder="1" applyAlignment="1">
      <alignment horizontal="center"/>
    </xf>
    <xf numFmtId="164" fontId="33" fillId="2" borderId="5" xfId="0" applyNumberFormat="1" applyFont="1" applyFill="1" applyBorder="1"/>
    <xf numFmtId="14" fontId="9" fillId="2" borderId="0" xfId="0" applyNumberFormat="1" applyFont="1" applyFill="1"/>
    <xf numFmtId="0" fontId="12" fillId="2" borderId="5" xfId="0" applyFont="1" applyFill="1" applyBorder="1" applyAlignment="1">
      <alignment horizontal="center"/>
    </xf>
    <xf numFmtId="0" fontId="34" fillId="2" borderId="18" xfId="0" applyFont="1" applyFill="1" applyBorder="1"/>
    <xf numFmtId="0" fontId="34" fillId="2" borderId="5" xfId="0" applyFont="1" applyFill="1" applyBorder="1"/>
    <xf numFmtId="14" fontId="34" fillId="2" borderId="5" xfId="0" applyNumberFormat="1" applyFont="1" applyFill="1" applyBorder="1" applyAlignment="1">
      <alignment horizontal="left"/>
    </xf>
    <xf numFmtId="14" fontId="34" fillId="2" borderId="5" xfId="0" applyNumberFormat="1" applyFont="1" applyFill="1" applyBorder="1" applyAlignment="1">
      <alignment horizontal="center"/>
    </xf>
    <xf numFmtId="164" fontId="34" fillId="2" borderId="5" xfId="0" applyNumberFormat="1" applyFont="1" applyFill="1" applyBorder="1"/>
    <xf numFmtId="0" fontId="9" fillId="0" borderId="18" xfId="0" applyFont="1" applyFill="1" applyBorder="1"/>
    <xf numFmtId="0" fontId="9" fillId="0" borderId="5" xfId="0" applyFont="1" applyFill="1" applyBorder="1" applyAlignment="1">
      <alignment horizontal="center"/>
    </xf>
    <xf numFmtId="14" fontId="9" fillId="0" borderId="5" xfId="0" applyNumberFormat="1" applyFont="1" applyFill="1" applyBorder="1" applyAlignment="1">
      <alignment horizontal="center"/>
    </xf>
    <xf numFmtId="14" fontId="31" fillId="0" borderId="0" xfId="0" applyNumberFormat="1" applyFont="1" applyFill="1"/>
    <xf numFmtId="0" fontId="34" fillId="0" borderId="5" xfId="0" applyFont="1" applyFill="1" applyBorder="1"/>
    <xf numFmtId="0" fontId="34" fillId="0" borderId="18" xfId="0" applyFont="1" applyFill="1" applyBorder="1"/>
    <xf numFmtId="14" fontId="34" fillId="0" borderId="5" xfId="0" applyNumberFormat="1" applyFont="1" applyFill="1" applyBorder="1" applyAlignment="1">
      <alignment horizontal="center"/>
    </xf>
    <xf numFmtId="14" fontId="34" fillId="0" borderId="5" xfId="0" applyNumberFormat="1" applyFont="1" applyFill="1" applyBorder="1" applyAlignment="1">
      <alignment horizontal="left"/>
    </xf>
    <xf numFmtId="14" fontId="18" fillId="0" borderId="5" xfId="0" applyNumberFormat="1" applyFont="1" applyFill="1" applyBorder="1" applyAlignment="1">
      <alignment horizontal="center"/>
    </xf>
    <xf numFmtId="167" fontId="16" fillId="2" borderId="0" xfId="0" applyNumberFormat="1" applyFont="1" applyFill="1" applyAlignment="1">
      <alignment horizontal="center"/>
    </xf>
    <xf numFmtId="167" fontId="9" fillId="2" borderId="0" xfId="0" applyNumberFormat="1" applyFont="1" applyFill="1" applyAlignment="1">
      <alignment horizontal="center"/>
    </xf>
    <xf numFmtId="164" fontId="12" fillId="2" borderId="0" xfId="0" applyNumberFormat="1" applyFont="1" applyFill="1" applyAlignment="1">
      <alignment horizontal="center"/>
    </xf>
    <xf numFmtId="164" fontId="9" fillId="3" borderId="5" xfId="0" applyNumberFormat="1" applyFont="1" applyFill="1" applyBorder="1"/>
    <xf numFmtId="0" fontId="35" fillId="2" borderId="0" xfId="0" applyFont="1" applyFill="1" applyAlignment="1">
      <alignment horizontal="center"/>
    </xf>
    <xf numFmtId="0" fontId="35" fillId="2" borderId="0" xfId="0" applyFont="1" applyFill="1"/>
    <xf numFmtId="0" fontId="21" fillId="6" borderId="5" xfId="0" applyFont="1" applyFill="1" applyBorder="1" applyAlignment="1">
      <alignment horizontal="center" vertical="center"/>
    </xf>
    <xf numFmtId="0" fontId="0" fillId="2" borderId="0" xfId="0" applyFill="1" applyAlignment="1">
      <alignment horizontal="center"/>
    </xf>
    <xf numFmtId="0" fontId="21" fillId="8" borderId="5" xfId="0" applyFont="1" applyFill="1" applyBorder="1" applyAlignment="1">
      <alignment horizontal="center" vertical="center"/>
    </xf>
    <xf numFmtId="0" fontId="21" fillId="8" borderId="17" xfId="0" applyFont="1" applyFill="1" applyBorder="1" applyAlignment="1">
      <alignment horizontal="center" vertical="center"/>
    </xf>
    <xf numFmtId="0" fontId="37" fillId="8" borderId="34" xfId="0" applyFont="1" applyFill="1" applyBorder="1" applyAlignment="1">
      <alignment horizontal="center" vertical="center"/>
    </xf>
    <xf numFmtId="0" fontId="21" fillId="8" borderId="33" xfId="0" applyFont="1" applyFill="1" applyBorder="1" applyAlignment="1">
      <alignment horizontal="center" vertical="center"/>
    </xf>
    <xf numFmtId="0" fontId="37" fillId="8" borderId="54" xfId="0" applyFont="1" applyFill="1" applyBorder="1" applyAlignment="1">
      <alignment horizontal="center" vertical="center"/>
    </xf>
    <xf numFmtId="0" fontId="21" fillId="8" borderId="18" xfId="0" applyFont="1" applyFill="1" applyBorder="1" applyAlignment="1">
      <alignment horizontal="center" vertical="center"/>
    </xf>
    <xf numFmtId="164" fontId="2" fillId="2" borderId="17" xfId="0" applyNumberFormat="1" applyFont="1" applyFill="1" applyBorder="1" applyAlignment="1">
      <alignment horizontal="right"/>
    </xf>
    <xf numFmtId="9" fontId="38" fillId="2" borderId="34" xfId="0" applyNumberFormat="1" applyFont="1" applyFill="1" applyBorder="1" applyAlignment="1">
      <alignment horizontal="right"/>
    </xf>
    <xf numFmtId="164" fontId="2" fillId="2" borderId="33" xfId="0" applyNumberFormat="1" applyFont="1" applyFill="1" applyBorder="1" applyAlignment="1">
      <alignment horizontal="right"/>
    </xf>
    <xf numFmtId="9" fontId="38" fillId="2" borderId="54" xfId="0" applyNumberFormat="1" applyFont="1" applyFill="1" applyBorder="1" applyAlignment="1">
      <alignment horizontal="right"/>
    </xf>
    <xf numFmtId="9" fontId="2" fillId="2" borderId="54" xfId="1" applyFont="1" applyFill="1" applyBorder="1" applyAlignment="1">
      <alignment horizontal="right"/>
    </xf>
    <xf numFmtId="9" fontId="38" fillId="2" borderId="54" xfId="1" applyFont="1" applyFill="1" applyBorder="1" applyAlignment="1">
      <alignment horizontal="right"/>
    </xf>
    <xf numFmtId="164" fontId="2" fillId="10" borderId="18" xfId="0" applyNumberFormat="1" applyFont="1" applyFill="1" applyBorder="1" applyAlignment="1">
      <alignment horizontal="right"/>
    </xf>
    <xf numFmtId="164" fontId="29" fillId="2" borderId="33" xfId="0" applyNumberFormat="1" applyFont="1" applyFill="1" applyBorder="1" applyAlignment="1">
      <alignment horizontal="right"/>
    </xf>
    <xf numFmtId="164" fontId="2" fillId="5" borderId="33" xfId="0" applyNumberFormat="1" applyFont="1" applyFill="1" applyBorder="1" applyAlignment="1">
      <alignment horizontal="right"/>
    </xf>
    <xf numFmtId="164" fontId="2" fillId="14" borderId="18" xfId="0" applyNumberFormat="1" applyFont="1" applyFill="1" applyBorder="1" applyAlignment="1">
      <alignment horizontal="right"/>
    </xf>
    <xf numFmtId="0" fontId="36" fillId="6" borderId="17" xfId="0" applyFont="1" applyFill="1" applyBorder="1" applyAlignment="1">
      <alignment horizontal="center"/>
    </xf>
    <xf numFmtId="0" fontId="36" fillId="6" borderId="33" xfId="0" applyFont="1" applyFill="1" applyBorder="1" applyAlignment="1">
      <alignment horizontal="center"/>
    </xf>
    <xf numFmtId="0" fontId="36" fillId="6" borderId="18" xfId="0" applyFont="1" applyFill="1" applyBorder="1" applyAlignment="1">
      <alignment horizontal="center"/>
    </xf>
    <xf numFmtId="0" fontId="21" fillId="8" borderId="17" xfId="0" applyFont="1" applyFill="1" applyBorder="1" applyAlignment="1">
      <alignment horizontal="center" vertical="center"/>
    </xf>
    <xf numFmtId="0" fontId="21" fillId="8" borderId="33" xfId="0" applyFont="1" applyFill="1" applyBorder="1" applyAlignment="1">
      <alignment horizontal="center" vertical="center"/>
    </xf>
    <xf numFmtId="0" fontId="21" fillId="8" borderId="18" xfId="0" applyFont="1" applyFill="1" applyBorder="1" applyAlignment="1">
      <alignment horizontal="center" vertical="center"/>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0" fontId="8" fillId="2" borderId="2" xfId="0" applyFont="1" applyFill="1" applyBorder="1" applyAlignment="1">
      <alignment horizontal="left"/>
    </xf>
    <xf numFmtId="0" fontId="8" fillId="2" borderId="3" xfId="0" applyFont="1" applyFill="1" applyBorder="1" applyAlignment="1">
      <alignment horizontal="left"/>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4" fillId="2" borderId="8" xfId="0" applyFont="1" applyFill="1" applyBorder="1" applyAlignment="1">
      <alignment horizontal="left"/>
    </xf>
    <xf numFmtId="0" fontId="4" fillId="2" borderId="9" xfId="0" applyFont="1" applyFill="1" applyBorder="1" applyAlignment="1">
      <alignment horizontal="left"/>
    </xf>
    <xf numFmtId="0" fontId="6" fillId="4" borderId="51" xfId="0" applyFont="1" applyFill="1" applyBorder="1" applyAlignment="1">
      <alignment horizontal="center"/>
    </xf>
    <xf numFmtId="0" fontId="6" fillId="4" borderId="52" xfId="0" applyFont="1" applyFill="1" applyBorder="1" applyAlignment="1">
      <alignment horizontal="center"/>
    </xf>
    <xf numFmtId="0" fontId="6" fillId="4" borderId="53" xfId="0" applyFont="1" applyFill="1" applyBorder="1" applyAlignment="1">
      <alignment horizontal="center"/>
    </xf>
    <xf numFmtId="0" fontId="23" fillId="8" borderId="17" xfId="0" applyFont="1" applyFill="1" applyBorder="1" applyAlignment="1">
      <alignment horizontal="center"/>
    </xf>
    <xf numFmtId="0" fontId="23" fillId="8" borderId="33" xfId="0" applyFont="1" applyFill="1" applyBorder="1" applyAlignment="1">
      <alignment horizontal="center"/>
    </xf>
    <xf numFmtId="0" fontId="23" fillId="8" borderId="18" xfId="0" applyFont="1" applyFill="1" applyBorder="1" applyAlignment="1">
      <alignment horizontal="center"/>
    </xf>
    <xf numFmtId="0" fontId="22" fillId="7" borderId="55" xfId="0" applyFont="1" applyFill="1" applyBorder="1" applyAlignment="1">
      <alignment horizontal="center"/>
    </xf>
    <xf numFmtId="0" fontId="22" fillId="7" borderId="56" xfId="0" applyFont="1" applyFill="1" applyBorder="1" applyAlignment="1">
      <alignment horizontal="center"/>
    </xf>
    <xf numFmtId="0" fontId="22" fillId="7" borderId="57" xfId="0" applyFont="1" applyFill="1" applyBorder="1" applyAlignment="1">
      <alignment horizontal="center"/>
    </xf>
    <xf numFmtId="0" fontId="22" fillId="7" borderId="20" xfId="0" applyFont="1" applyFill="1" applyBorder="1" applyAlignment="1">
      <alignment horizontal="center"/>
    </xf>
    <xf numFmtId="0" fontId="22" fillId="7" borderId="35" xfId="0" applyFont="1" applyFill="1" applyBorder="1" applyAlignment="1">
      <alignment horizontal="center"/>
    </xf>
    <xf numFmtId="166" fontId="2" fillId="5" borderId="34" xfId="1" applyNumberFormat="1" applyFont="1" applyFill="1" applyBorder="1" applyAlignment="1">
      <alignment horizontal="right"/>
    </xf>
    <xf numFmtId="166" fontId="2" fillId="5" borderId="54" xfId="1" applyNumberFormat="1" applyFont="1" applyFill="1" applyBorder="1" applyAlignment="1">
      <alignment horizontal="right"/>
    </xf>
  </cellXfs>
  <cellStyles count="3">
    <cellStyle name="Moneda" xfId="2" builtinId="4"/>
    <cellStyle name="Normal" xfId="0" builtinId="0"/>
    <cellStyle name="Porcentaje" xfId="1" builtinId="5"/>
  </cellStyles>
  <dxfs count="147">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Light"/>
        <family val="2"/>
        <scheme val="major"/>
      </font>
      <numFmt numFmtId="164" formatCode="#,##0.00\ &quot;€&quo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numFmt numFmtId="164" formatCode="#,##0.00\ &quot;€&quo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family val="2"/>
        <scheme val="major"/>
      </font>
      <numFmt numFmtId="2" formatCode="0.00"/>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numFmt numFmtId="2" formatCode="0.00"/>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Light"/>
        <family val="2"/>
        <scheme val="major"/>
      </font>
      <numFmt numFmtId="164" formatCode="#,##0.00\ &quot;€&quo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numFmt numFmtId="4" formatCode="#,##0.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alignment horizontal="center" vertical="bottom" textRotation="0" wrapText="0" indent="0" justifyLastLine="0" shrinkToFit="0" readingOrder="0"/>
    </dxf>
    <dxf>
      <font>
        <strike val="0"/>
        <outline val="0"/>
        <shadow val="0"/>
        <u val="none"/>
        <vertAlign val="baseline"/>
        <sz val="9"/>
        <color theme="1"/>
        <name val="Calibri Light"/>
        <scheme val="major"/>
      </font>
      <fill>
        <patternFill patternType="solid">
          <fgColor indexed="64"/>
          <bgColor theme="0"/>
        </patternFill>
      </fill>
      <alignment horizontal="center" textRotation="0" indent="0" justifyLastLine="0" shrinkToFit="0" readingOrder="0"/>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0"/>
        </patternFill>
      </fill>
    </dxf>
    <dxf>
      <font>
        <strike val="0"/>
        <outline val="0"/>
        <shadow val="0"/>
        <u val="none"/>
        <vertAlign val="baseline"/>
        <sz val="9"/>
        <color theme="1"/>
        <name val="Calibri Light"/>
        <scheme val="maj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Light"/>
        <family val="2"/>
        <scheme val="major"/>
      </font>
      <numFmt numFmtId="34" formatCode="_-* #,##0.00\ &quot;€&quot;_-;\-* #,##0.00\ &quot;€&quot;_-;_-* &quot;-&quot;??\ &quot;€&quot;_-;_-@_-"/>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numFmt numFmtId="34" formatCode="_-* #,##0.00\ &quot;€&quot;_-;\-* #,##0.00\ &quot;€&quot;_-;_-* &quot;-&quot;??\ &quot;€&quot;_-;_-@_-"/>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numFmt numFmtId="34" formatCode="_-* #,##0.00\ &quot;€&quot;_-;\-* #,##0.00\ &quot;€&quot;_-;_-* &quot;-&quot;??\ &quot;€&quot;_-;_-@_-"/>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Calibri Light"/>
        <scheme val="major"/>
      </font>
      <fill>
        <patternFill patternType="solid">
          <fgColor indexed="64"/>
          <bgColor theme="7"/>
        </patternFill>
      </fill>
    </dxf>
    <dxf>
      <font>
        <b val="0"/>
        <i val="0"/>
        <strike val="0"/>
        <condense val="0"/>
        <extend val="0"/>
        <outline val="0"/>
        <shadow val="0"/>
        <u val="none"/>
        <vertAlign val="baseline"/>
        <sz val="9"/>
        <color theme="1"/>
        <name val="Calibri Light"/>
        <scheme val="major"/>
      </font>
      <fill>
        <patternFill>
          <fgColor indexed="64"/>
          <bgColor theme="0"/>
        </patternFill>
      </fill>
    </dxf>
    <dxf>
      <font>
        <b val="0"/>
        <i val="0"/>
        <strike val="0"/>
        <condense val="0"/>
        <extend val="0"/>
        <outline val="0"/>
        <shadow val="0"/>
        <u val="none"/>
        <vertAlign val="baseline"/>
        <sz val="8"/>
        <color theme="0"/>
        <name val="Calibri Light"/>
        <scheme val="maj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Light"/>
        <family val="2"/>
        <scheme val="major"/>
      </font>
      <numFmt numFmtId="164" formatCode="#,##0.00\ &quot;€&quo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numFmt numFmtId="164" formatCode="#,##0.00\ &quot;€&quo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numFmt numFmtId="164" formatCode="#,##0.00\ &quot;€&quo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numFmt numFmtId="164" formatCode="#,##0.00\ &quot;€&quo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Calibri Light"/>
        <family val="2"/>
        <scheme val="major"/>
      </font>
      <fill>
        <patternFill patternType="solid">
          <fgColor indexed="64"/>
          <bgColor theme="7"/>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Light"/>
        <scheme val="major"/>
      </font>
      <fill>
        <patternFill>
          <fgColor indexed="64"/>
          <bgColor theme="0"/>
        </patternFill>
      </fill>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color theme="1"/>
        <name val="Calibri Light"/>
        <scheme val="major"/>
      </font>
      <fill>
        <patternFill patternType="solid">
          <fgColor indexed="64"/>
          <bgColor theme="7"/>
        </patternFill>
      </fill>
      <border diagonalUp="0" diagonalDown="0" outline="0">
        <left style="thin">
          <color indexed="64"/>
        </left>
        <right style="thin">
          <color indexed="64"/>
        </right>
        <top/>
        <bottom/>
      </border>
    </dxf>
    <dxf>
      <font>
        <strike val="0"/>
        <outline val="0"/>
        <shadow val="0"/>
        <u val="none"/>
        <vertAlign val="baseline"/>
        <sz val="9"/>
        <color theme="1"/>
        <name val="Calibri Light"/>
        <scheme val="major"/>
      </font>
      <fill>
        <patternFill>
          <fgColor indexed="64"/>
          <bgColor theme="0"/>
        </patternFill>
      </fill>
    </dxf>
    <dxf>
      <font>
        <strike val="0"/>
        <outline val="0"/>
        <shadow val="0"/>
        <u val="none"/>
        <vertAlign val="baseline"/>
        <sz val="9"/>
        <color theme="1"/>
        <name val="Calibri Light"/>
        <scheme val="major"/>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numFmt numFmtId="164" formatCode="#,##0.00\ &quot;€&quot;"/>
      <fill>
        <patternFill patternType="solid">
          <fgColor indexed="64"/>
          <bgColor theme="6" tint="0.79998168889431442"/>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Light"/>
        <scheme val="major"/>
      </font>
      <numFmt numFmtId="164" formatCode="#,##0.00\ &quot;€&quo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bottom" textRotation="0" wrapText="0" indent="0" justifyLastLine="0" shrinkToFit="0" readingOrder="0"/>
      <border diagonalUp="0" diagonalDown="0" outline="0">
        <left style="thin">
          <color theme="0"/>
        </left>
        <right/>
        <top style="thin">
          <color indexed="64"/>
        </top>
        <bottom style="thin">
          <color theme="0"/>
        </bottom>
      </border>
    </dxf>
    <dxf>
      <font>
        <b val="0"/>
        <i val="0"/>
        <strike val="0"/>
        <condense val="0"/>
        <extend val="0"/>
        <outline val="0"/>
        <shadow val="0"/>
        <u val="none"/>
        <vertAlign val="baseline"/>
        <sz val="10"/>
        <color theme="1"/>
        <name val="Calibri Light"/>
        <scheme val="major"/>
      </font>
      <fill>
        <patternFill>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border diagonalUp="0" diagonalDown="0" outline="0">
        <left/>
        <right style="thin">
          <color theme="0"/>
        </right>
        <top style="thin">
          <color indexed="64"/>
        </top>
        <bottom style="thin">
          <color theme="0"/>
        </bottom>
      </border>
    </dxf>
    <dxf>
      <font>
        <b val="0"/>
        <i val="0"/>
        <strike val="0"/>
        <condense val="0"/>
        <extend val="0"/>
        <outline val="0"/>
        <shadow val="0"/>
        <u val="none"/>
        <vertAlign val="baseline"/>
        <sz val="10"/>
        <color theme="1"/>
        <name val="Calibri Light"/>
        <scheme val="major"/>
      </font>
      <fill>
        <patternFill>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Light"/>
        <family val="2"/>
        <scheme val="major"/>
      </font>
      <fill>
        <patternFill patternType="solid">
          <fgColor indexed="64"/>
          <bgColor theme="0"/>
        </patternFill>
      </fill>
      <alignment horizontal="center" vertical="bottom" textRotation="0" wrapText="0" indent="0" justifyLastLine="0" shrinkToFit="0" readingOrder="0"/>
      <border diagonalUp="0" diagonalDown="0" outline="0">
        <left style="thin">
          <color theme="0"/>
        </left>
        <right/>
        <top style="thin">
          <color indexed="64"/>
        </top>
        <bottom style="thin">
          <color theme="0"/>
        </bottom>
      </border>
    </dxf>
    <dxf>
      <font>
        <b val="0"/>
        <i val="0"/>
        <strike val="0"/>
        <condense val="0"/>
        <extend val="0"/>
        <outline val="0"/>
        <shadow val="0"/>
        <u val="none"/>
        <vertAlign val="baseline"/>
        <sz val="10"/>
        <color theme="1"/>
        <name val="Calibri Light"/>
        <scheme val="major"/>
      </font>
      <fill>
        <patternFill>
          <fgColor indexed="64"/>
          <bgColor theme="0"/>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name val="Calibri Light"/>
        <scheme val="major"/>
      </font>
      <fill>
        <patternFill>
          <fgColor indexed="64"/>
          <bgColor theme="0"/>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Light"/>
        <scheme val="major"/>
      </font>
      <fill>
        <patternFill>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Calibri Light"/>
        <family val="2"/>
        <scheme val="major"/>
      </font>
      <fill>
        <patternFill patternType="solid">
          <fgColor indexed="64"/>
          <bgColor theme="2" tint="-9.9978637043366805E-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0000"/>
        </patternFill>
      </fill>
    </dxf>
  </dxfs>
  <tableStyles count="0" defaultTableStyle="TableStyleMedium2" defaultPivotStyle="PivotStyleLight16"/>
  <colors>
    <mruColors>
      <color rgb="FFFF8989"/>
      <color rgb="FFF2B800"/>
      <color rgb="FFECC4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7FC5C9A-6261-4D42-8F80-B0A25C49D0E8}" name="Tabla58" displayName="Tabla58" ref="N21:V36" totalsRowCount="1" headerRowDxfId="144" dataDxfId="143" totalsRowDxfId="142">
  <tableColumns count="9">
    <tableColumn id="1" xr3:uid="{952FBD01-397C-4278-9091-9A62B7C505ED}" name="Nº" dataDxfId="141" totalsRowDxfId="140"/>
    <tableColumn id="2" xr3:uid="{4460F50C-C8A0-43C8-BAB7-0AFA7224973A}" name="Partner" dataDxfId="139" totalsRowDxfId="138"/>
    <tableColumn id="3" xr3:uid="{41FEDD07-7B85-413A-A300-461C473FD2A5}" name="Country" dataDxfId="137" totalsRowDxfId="136"/>
    <tableColumn id="4" xr3:uid="{7F68FD38-F231-459A-81E0-4157B1B21256}" name="Staff Costs" totalsRowLabel="306.847,00 €" dataDxfId="135" totalsRowDxfId="0"/>
    <tableColumn id="5" xr3:uid="{82C60F08-5C91-4531-8A6F-4678EF0D2780}" name="Travel Costs" totalsRowLabel="198.150,00 €" dataDxfId="134" totalsRowDxfId="133"/>
    <tableColumn id="6" xr3:uid="{D061F69B-9693-4FDE-AC76-015011649974}" name="Costs of Stay" totalsRowLabel="239.280,00 €" dataDxfId="132" totalsRowDxfId="131"/>
    <tableColumn id="7" xr3:uid="{E6812663-690C-4B9C-9854-42C76FF83446}" name="Equipment" totalsRowLabel="39.777,00 €" dataDxfId="130" totalsRowDxfId="129"/>
    <tableColumn id="8" xr3:uid="{748F2A16-1BB0-4FD0-8902-605DC1970ABA}" name="Subcontrac." totalsRowLabel="22.960,00 €" dataDxfId="128" totalsRowDxfId="127"/>
    <tableColumn id="9" xr3:uid="{9D1EAE13-299D-4B2B-9071-855147979CF9}" name="Total" totalsRowLabel="807.014,00 €" dataDxfId="126" totalsRowDxfId="125">
      <calculatedColumnFormula>SUM(Tabla58[[#This Row],[Staff Costs]:[Subcontrac.]])</calculatedColumnFormula>
    </tableColumn>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a3" displayName="Tabla3" ref="A1:N367" totalsRowCount="1" headerRowDxfId="124" dataDxfId="123" totalsRowDxfId="122">
  <autoFilter ref="A1:N366" xr:uid="{00000000-0009-0000-0100-000003000000}"/>
  <tableColumns count="14">
    <tableColumn id="1" xr3:uid="{00000000-0010-0000-0400-000001000000}" name="WORK PACKAGE" totalsRowLabel="Total" dataDxfId="121" totalsRowDxfId="120"/>
    <tableColumn id="2" xr3:uid="{00000000-0010-0000-0400-000002000000}" name="PARTNER NUMBER" dataDxfId="119" totalsRowDxfId="118"/>
    <tableColumn id="3" xr3:uid="{00000000-0010-0000-0400-000003000000}" name="NAME OF PARTNER" dataDxfId="117" totalsRowDxfId="116"/>
    <tableColumn id="4" xr3:uid="{00000000-0010-0000-0400-000004000000}" name="COUNTRY" dataDxfId="115" totalsRowDxfId="114"/>
    <tableColumn id="5" xr3:uid="{00000000-0010-0000-0400-000005000000}" name="SUPPORTING DOCUMENT" dataDxfId="113" totalsRowDxfId="112"/>
    <tableColumn id="6" xr3:uid="{00000000-0010-0000-0400-000006000000}" name="NAME OF STAFF MEMBER" dataDxfId="111" totalsRowDxfId="110"/>
    <tableColumn id="7" xr3:uid="{00000000-0010-0000-0400-000007000000}" name="STAFF CATEGORY" dataDxfId="109" totalsRowDxfId="108"/>
    <tableColumn id="16" xr3:uid="{16393E4E-537F-4FA6-B856-F9567F971A01}" name="WP/Task" dataDxfId="107" totalsRowDxfId="106"/>
    <tableColumn id="8" xr3:uid="{00000000-0010-0000-0400-000008000000}" name="SHORT DESCRIPTION OF TASKS" dataDxfId="105" totalsRowDxfId="104"/>
    <tableColumn id="9" xr3:uid="{00000000-0010-0000-0400-000009000000}" name="FROM" dataDxfId="103" totalsRowDxfId="102"/>
    <tableColumn id="10" xr3:uid="{00000000-0010-0000-0400-00000A000000}" name="TO" dataDxfId="101" totalsRowDxfId="100"/>
    <tableColumn id="11" xr3:uid="{00000000-0010-0000-0400-00000B000000}" name="NUMBER OF DAYS" totalsRowFunction="custom" dataDxfId="99" totalsRowDxfId="98">
      <totalsRowFormula>SUM(L2:L365)</totalsRowFormula>
    </tableColumn>
    <tableColumn id="12" xr3:uid="{00000000-0010-0000-0400-00000C000000}" name="MAX. UNIT COST PER DAY" dataDxfId="97" totalsRowDxfId="96">
      <calculatedColumnFormula>IF(AND(G2="Manager",D2="Spain"),164,IF(AND(G2="Researcher/Teacher/Trainer",D2="Spain"),137,IF(AND(G2="Technical Staff",D2="Spain"),164,IF(AND(G2="Administrative staff",D2="Spain"),164,IF(AND(G2="Manager",D2="Slovenia"),164,IF(AND(G2="Researcher/Teacher/Trainer",D2="Slovenia"),137,IF(AND(G2="Technical Staff",D2="Slovenia"),102,IF(AND(G2="Administrative staff",D2="Slovenia"),78,IF(AND(G2="Manager",D2="Italy"),280,IF(AND(G2="Researcher/Teacher/Trainer",D2="Italy"),214,IF(AND(G2="Technical Staff",D2="Italy"),162,IF(AND(G2="Administrative staff",D2="Italy"),131,IF(AND(G2="Manager",D2="Kazakstan"),77,IF(AND(G2="Researcher/Teacher/Trainer",D2="Kazakstan"),57,IF(AND(G2="Technical Staff",D2="Kazakstan"),40,IF(AND(G2="Administrative staff",D2="Kazakstan"),32,IF(AND(G2="Manager",D2="Turkmenistan"),47,IF(AND(G2="Researcher/Teacher/Trainer",D2="Turkmenistan"),33,IF(AND(G2="Technical Staff",D2="Turkmenistan"),22,IF(AND(G2="Administrative staff",D2="Turkmenistan"),17,IF(AND(G2="Manager",D2="Tajikistan"),47,IF(AND(G2="Researcher/Teacher/Trainer",D2="Tajikistan"),33,IF(AND(G2="Technical Staff",D2="Tajikistan"),22,IF(AND(G2="Administrative staff",D2="Tajikistan"),17,))))))))))))))))))))))))</calculatedColumnFormula>
    </tableColumn>
    <tableColumn id="13" xr3:uid="{00000000-0010-0000-0400-00000D000000}" name="TOTAL CALCULATED" totalsRowFunction="sum" dataDxfId="95" totalsRowDxfId="94">
      <calculatedColumnFormula>Tabla3[[#This Row],[NUMBER OF DAYS]]*Tabla3[[#This Row],[MAX. UNIT COST PER DAY]]</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5000000}" name="Tabla2" displayName="Tabla2" ref="A1:O53" totalsRowCount="1" headerRowDxfId="93" dataDxfId="92" totalsRowDxfId="91">
  <autoFilter ref="A1:O52" xr:uid="{00000000-0009-0000-0100-000002000000}"/>
  <tableColumns count="15">
    <tableColumn id="1" xr3:uid="{00000000-0010-0000-0500-000001000000}" name="WP" totalsRowLabel="Total" dataDxfId="90" totalsRowDxfId="89"/>
    <tableColumn id="2" xr3:uid="{00000000-0010-0000-0500-000002000000}" name="P#" dataDxfId="88" totalsRowDxfId="87"/>
    <tableColumn id="3" xr3:uid="{00000000-0010-0000-0500-000003000000}" name="PARTNER" dataDxfId="86" totalsRowDxfId="85"/>
    <tableColumn id="4" xr3:uid="{00000000-0010-0000-0500-000004000000}" name="COUNTRY" dataDxfId="84" totalsRowDxfId="83"/>
    <tableColumn id="5" xr3:uid="{00000000-0010-0000-0500-000005000000}" name="REF." dataDxfId="82" totalsRowDxfId="81"/>
    <tableColumn id="6" xr3:uid="{00000000-0010-0000-0500-000006000000}" name="NAME" dataDxfId="80" totalsRowDxfId="79"/>
    <tableColumn id="7" xr3:uid="{00000000-0010-0000-0500-000007000000}" name="STAFF/STUDENT" dataDxfId="78" totalsRowDxfId="77"/>
    <tableColumn id="8" xr3:uid="{00000000-0010-0000-0500-000008000000}" name="CITY OF DEPARTURE" dataDxfId="76" totalsRowDxfId="75"/>
    <tableColumn id="9" xr3:uid="{00000000-0010-0000-0500-000009000000}" name="CITY OF DESTINATION" dataDxfId="74" totalsRowDxfId="73"/>
    <tableColumn id="10" xr3:uid="{00000000-0010-0000-0500-00000A000000}" name="DEPARTURE DATE" dataDxfId="72" totalsRowDxfId="71"/>
    <tableColumn id="11" xr3:uid="{00000000-0010-0000-0500-00000B000000}" name="RETURN DATE" dataDxfId="70" totalsRowDxfId="69"/>
    <tableColumn id="12" xr3:uid="{00000000-0010-0000-0500-00000C000000}" name="Nº OF DAYS" dataDxfId="68" totalsRowDxfId="67">
      <calculatedColumnFormula>Tabla2[[#This Row],[RETURN DATE]]-Tabla2[[#This Row],[DEPARTURE DATE]]+1</calculatedColumnFormula>
    </tableColumn>
    <tableColumn id="13" xr3:uid="{00000000-0010-0000-0500-00000D000000}" name="TRAVEL DISTANCE" dataDxfId="66" totalsRowDxfId="65"/>
    <tableColumn id="14" xr3:uid="{00000000-0010-0000-0500-00000E000000}" name="MAX. TRAVEL COSTS" totalsRowFunction="sum" dataDxfId="64" totalsRowDxfId="63" dataCellStyle="Moneda"/>
    <tableColumn id="15" xr3:uid="{00000000-0010-0000-0500-00000F000000}" name="MAX. COSTS OF STAY" totalsRowFunction="sum" dataDxfId="62" totalsRowDxfId="61" dataCellStyle="Moneda">
      <calculatedColumnFormula>Tabla2[[#This Row],[Nº OF DAYS]]*120</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Tabla4" displayName="Tabla4" ref="A1:N27" totalsRowCount="1" headerRowDxfId="60" dataDxfId="59" totalsRowDxfId="58">
  <autoFilter ref="A1:N26" xr:uid="{00000000-0009-0000-0100-000004000000}"/>
  <tableColumns count="14">
    <tableColumn id="1" xr3:uid="{00000000-0010-0000-0600-000001000000}" name="WORK PACKAGE" totalsRowLabel="Total" dataDxfId="57" totalsRowDxfId="56"/>
    <tableColumn id="2" xr3:uid="{00000000-0010-0000-0600-000002000000}" name="PARTNER NUMBER" dataDxfId="55" totalsRowDxfId="54"/>
    <tableColumn id="3" xr3:uid="{00000000-0010-0000-0600-000003000000}" name="NAME OF PARTNER" dataDxfId="53" totalsRowDxfId="52"/>
    <tableColumn id="4" xr3:uid="{00000000-0010-0000-0600-000004000000}" name="COUNTRY" dataDxfId="51" totalsRowDxfId="50"/>
    <tableColumn id="5" xr3:uid="{00000000-0010-0000-0600-000005000000}" name="SUPPORTING DOCUMENT" dataDxfId="49" totalsRowDxfId="48"/>
    <tableColumn id="13" xr3:uid="{9B145787-2386-45BD-8CAB-B93E7F85564E}" name="INVOICE DATE" dataDxfId="47" totalsRowDxfId="46"/>
    <tableColumn id="6" xr3:uid="{00000000-0010-0000-0600-000006000000}" name="NATURE, TYPE &amp; SPECIFICATIONS OF THE ITEM" dataDxfId="45" totalsRowDxfId="44"/>
    <tableColumn id="7" xr3:uid="{00000000-0010-0000-0600-000007000000}" name="PROVIDING COMPANY" dataDxfId="43" totalsRowDxfId="42"/>
    <tableColumn id="9" xr3:uid="{00000000-0010-0000-0600-000009000000}" name="AMOUNT (excluding VAT)" dataDxfId="41" totalsRowDxfId="40"/>
    <tableColumn id="14" xr3:uid="{45391DF8-8FE8-4E58-A4A6-4AF5A1CA6DAB}" name="VAT &amp; TAXES (only if charged to project)" dataDxfId="39" totalsRowDxfId="38"/>
    <tableColumn id="15" xr3:uid="{CD445134-80AF-4E6A-A865-A9EC98F3FDAD}" name="TOTAL AMOUNT" dataDxfId="37" totalsRowDxfId="36">
      <calculatedColumnFormula>I2+J2</calculatedColumnFormula>
    </tableColumn>
    <tableColumn id="10" xr3:uid="{00000000-0010-0000-0600-00000A000000}" name="CURRENCY" dataDxfId="35" totalsRowDxfId="34"/>
    <tableColumn id="11" xr3:uid="{00000000-0010-0000-0600-00000B000000}" name="EXCHANGE RATE" dataDxfId="33" totalsRowDxfId="32"/>
    <tableColumn id="12" xr3:uid="{00000000-0010-0000-0600-00000C000000}" name="AMOUNT CHARGED TO THE PROJECT" totalsRowFunction="sum" dataDxfId="31" totalsRowDxfId="30"/>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a47" displayName="Tabla47" ref="A1:M37" totalsRowCount="1" headerRowDxfId="29" dataDxfId="28" totalsRowDxfId="27">
  <autoFilter ref="A1:M36" xr:uid="{00000000-0009-0000-0100-000006000000}"/>
  <tableColumns count="13">
    <tableColumn id="1" xr3:uid="{00000000-0010-0000-0700-000001000000}" name="WORK PACKAGE" totalsRowLabel="Total" dataDxfId="26" totalsRowDxfId="25"/>
    <tableColumn id="2" xr3:uid="{00000000-0010-0000-0700-000002000000}" name="PARTNER NUMBER" dataDxfId="24" totalsRowDxfId="23"/>
    <tableColumn id="3" xr3:uid="{00000000-0010-0000-0700-000003000000}" name="NAME OF PARTNER" dataDxfId="22" totalsRowDxfId="21"/>
    <tableColumn id="4" xr3:uid="{00000000-0010-0000-0700-000004000000}" name="COUNTRY" dataDxfId="20" totalsRowDxfId="19"/>
    <tableColumn id="5" xr3:uid="{00000000-0010-0000-0700-000005000000}" name="SUPPORTING DOCUMENT" dataDxfId="18" totalsRowDxfId="17"/>
    <tableColumn id="13" xr3:uid="{EBFB063F-DCC1-49D7-8104-F463C70380C5}" name="Date of invoice" dataDxfId="16" totalsRowDxfId="15"/>
    <tableColumn id="6" xr3:uid="{00000000-0010-0000-0700-000006000000}" name="NATURE, TYPE &amp; SPECIFICATIONS OF THE ITEM" dataDxfId="14" totalsRowDxfId="13"/>
    <tableColumn id="7" xr3:uid="{00000000-0010-0000-0700-000007000000}" name="PROVIDING COMPANY" dataDxfId="12" totalsRowDxfId="11"/>
    <tableColumn id="8" xr3:uid="{00000000-0010-0000-0700-000008000000}" name="VAT &amp; TAXES" dataDxfId="10" totalsRowDxfId="9"/>
    <tableColumn id="9" xr3:uid="{00000000-0010-0000-0700-000009000000}" name="AMOUNT" dataDxfId="8" totalsRowDxfId="7"/>
    <tableColumn id="10" xr3:uid="{00000000-0010-0000-0700-00000A000000}" name="CURRENCY" dataDxfId="6" totalsRowDxfId="5"/>
    <tableColumn id="11" xr3:uid="{00000000-0010-0000-0700-00000B000000}" name="EXCHANGE RATE" dataDxfId="4" totalsRowDxfId="3"/>
    <tableColumn id="12" xr3:uid="{00000000-0010-0000-0700-00000C000000}" name="AMOUNT CHARGED TO THE PROJECT" totalsRowFunction="sum" dataDxfId="2" totalsRowDxfId="1"/>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B1:AA36"/>
  <sheetViews>
    <sheetView zoomScaleNormal="100" workbookViewId="0">
      <selection activeCell="E38" sqref="E38"/>
    </sheetView>
  </sheetViews>
  <sheetFormatPr baseColWidth="10" defaultColWidth="11.42578125" defaultRowHeight="15" x14ac:dyDescent="0.25"/>
  <cols>
    <col min="1" max="1" width="3.5703125" style="2" customWidth="1"/>
    <col min="2" max="2" width="3.42578125" style="2" customWidth="1"/>
    <col min="3" max="3" width="47.140625" style="2" bestFit="1" customWidth="1"/>
    <col min="4" max="4" width="14.28515625" style="2" bestFit="1" customWidth="1"/>
    <col min="5" max="5" width="13.7109375" style="2" customWidth="1"/>
    <col min="6" max="6" width="15.85546875" style="2" bestFit="1" customWidth="1"/>
    <col min="7" max="7" width="17.5703125" style="2" bestFit="1" customWidth="1"/>
    <col min="8" max="8" width="11.85546875" style="2" bestFit="1" customWidth="1"/>
    <col min="9" max="9" width="13.85546875" style="2" customWidth="1"/>
    <col min="10" max="10" width="13.42578125" style="2" customWidth="1"/>
    <col min="11" max="11" width="14.42578125" style="2" customWidth="1"/>
    <col min="12" max="12" width="13.7109375" style="2" customWidth="1"/>
    <col min="13" max="18" width="11.42578125" style="2"/>
    <col min="19" max="19" width="14.140625" style="2" bestFit="1" customWidth="1"/>
    <col min="20" max="20" width="11.42578125" style="2"/>
    <col min="21" max="21" width="15.7109375" style="2" bestFit="1" customWidth="1"/>
    <col min="22" max="24" width="11.42578125" style="2"/>
    <col min="25" max="25" width="12.5703125" style="2" customWidth="1"/>
    <col min="26" max="16384" width="11.42578125" style="2"/>
  </cols>
  <sheetData>
    <row r="1" spans="2:27" ht="15.75" thickBot="1" x14ac:dyDescent="0.3"/>
    <row r="2" spans="2:27" x14ac:dyDescent="0.25">
      <c r="B2" s="251" t="s">
        <v>45</v>
      </c>
      <c r="C2" s="252"/>
      <c r="D2" s="253" t="s">
        <v>88</v>
      </c>
      <c r="E2" s="253"/>
      <c r="F2" s="254"/>
      <c r="J2" s="14" t="s">
        <v>69</v>
      </c>
      <c r="K2" s="15" t="s">
        <v>70</v>
      </c>
      <c r="L2" s="16" t="s">
        <v>71</v>
      </c>
      <c r="N2" s="228"/>
      <c r="O2" s="178"/>
      <c r="P2" s="178"/>
      <c r="Q2" s="248" t="s">
        <v>228</v>
      </c>
      <c r="R2" s="249"/>
      <c r="S2" s="249"/>
      <c r="T2" s="249"/>
      <c r="U2" s="249"/>
      <c r="V2" s="249"/>
      <c r="W2" s="249"/>
      <c r="X2" s="249"/>
      <c r="Y2" s="249"/>
      <c r="Z2" s="249"/>
      <c r="AA2" s="250"/>
    </row>
    <row r="3" spans="2:27" ht="15.75" thickBot="1" x14ac:dyDescent="0.3">
      <c r="B3" s="255" t="s">
        <v>0</v>
      </c>
      <c r="C3" s="256"/>
      <c r="D3" s="257" t="s">
        <v>89</v>
      </c>
      <c r="E3" s="257"/>
      <c r="F3" s="258"/>
      <c r="J3" s="50">
        <v>43845</v>
      </c>
      <c r="K3" s="51">
        <v>45305</v>
      </c>
      <c r="L3" s="13" t="s">
        <v>792</v>
      </c>
      <c r="N3" s="229" t="s">
        <v>50</v>
      </c>
      <c r="O3" s="229" t="s">
        <v>68</v>
      </c>
      <c r="P3" s="229" t="s">
        <v>14</v>
      </c>
      <c r="Q3" s="230" t="s">
        <v>1</v>
      </c>
      <c r="R3" s="231" t="s">
        <v>799</v>
      </c>
      <c r="S3" s="232" t="s">
        <v>2</v>
      </c>
      <c r="T3" s="233" t="s">
        <v>800</v>
      </c>
      <c r="U3" s="232" t="s">
        <v>3</v>
      </c>
      <c r="V3" s="233" t="s">
        <v>801</v>
      </c>
      <c r="W3" s="232" t="s">
        <v>386</v>
      </c>
      <c r="X3" s="233" t="s">
        <v>802</v>
      </c>
      <c r="Y3" s="232" t="s">
        <v>460</v>
      </c>
      <c r="Z3" s="233" t="s">
        <v>803</v>
      </c>
      <c r="AA3" s="234" t="s">
        <v>29</v>
      </c>
    </row>
    <row r="4" spans="2:27" ht="15.75" thickBot="1" x14ac:dyDescent="0.3">
      <c r="N4" s="58" t="s">
        <v>51</v>
      </c>
      <c r="O4" s="10" t="s">
        <v>779</v>
      </c>
      <c r="P4" s="58" t="s">
        <v>63</v>
      </c>
      <c r="Q4" s="235">
        <f>SUMIF('Staff Costs'!B:B,N4,'Staff Costs'!N:N)</f>
        <v>62301</v>
      </c>
      <c r="R4" s="236">
        <f>Q4/Q22</f>
        <v>0.82316178899385617</v>
      </c>
      <c r="S4" s="237">
        <f>SUMIF('Travel&amp;Costs of Stay'!B:B,N4,'Travel&amp;Costs of Stay'!N:N)</f>
        <v>1095</v>
      </c>
      <c r="T4" s="238">
        <f t="shared" ref="T4:T17" si="0">S4/R22</f>
        <v>0.12106135986733002</v>
      </c>
      <c r="U4" s="237">
        <f>SUMIF('Travel&amp;Costs of Stay'!B:B,N4,'Travel&amp;Costs of Stay'!O:O)</f>
        <v>840</v>
      </c>
      <c r="V4" s="238">
        <f>U4/S22</f>
        <v>0.10144927536231885</v>
      </c>
      <c r="W4" s="237">
        <f>SUMIF(Equipment!B:B,N4,Equipment!N:N)</f>
        <v>0</v>
      </c>
      <c r="X4" s="239"/>
      <c r="Y4" s="237">
        <f>SUMIF(Subcontracting!B:B,N4,Subcontracting!M:M)</f>
        <v>3715</v>
      </c>
      <c r="Z4" s="240">
        <f>Y4/U22</f>
        <v>0.29720000000000002</v>
      </c>
      <c r="AA4" s="241">
        <f>SUM(Q4,S4,U4,W4,Y4)</f>
        <v>67951</v>
      </c>
    </row>
    <row r="5" spans="2:27" x14ac:dyDescent="0.25">
      <c r="B5" s="259" t="s">
        <v>8</v>
      </c>
      <c r="C5" s="260"/>
      <c r="D5" s="261"/>
      <c r="E5" s="17" t="s">
        <v>382</v>
      </c>
      <c r="F5" s="17" t="s">
        <v>9</v>
      </c>
      <c r="G5" s="18" t="s">
        <v>12</v>
      </c>
      <c r="H5" s="3"/>
      <c r="N5" s="58" t="s">
        <v>52</v>
      </c>
      <c r="O5" s="10" t="s">
        <v>119</v>
      </c>
      <c r="P5" s="58" t="s">
        <v>63</v>
      </c>
      <c r="Q5" s="235">
        <f>SUMIF('Staff Costs'!B:B,N5,'Staff Costs'!N:N)</f>
        <v>45200</v>
      </c>
      <c r="R5" s="236">
        <f t="shared" ref="R5:R17" si="1">Q5/Q23</f>
        <v>0.87877904150870034</v>
      </c>
      <c r="S5" s="237">
        <f>SUMIF('Travel&amp;Costs of Stay'!B:B,N5,'Travel&amp;Costs of Stay'!N:N)</f>
        <v>2740</v>
      </c>
      <c r="T5" s="238">
        <f t="shared" si="0"/>
        <v>0.31242873432155072</v>
      </c>
      <c r="U5" s="237">
        <f>SUMIF('Travel&amp;Costs of Stay'!B:B,N5,'Travel&amp;Costs of Stay'!O:O)</f>
        <v>2640</v>
      </c>
      <c r="V5" s="238">
        <f t="shared" ref="V5:V17" si="2">U5/S23</f>
        <v>0.33333333333333331</v>
      </c>
      <c r="W5" s="237">
        <f>SUMIF(Equipment!B:B,N5,Equipment!N:N)</f>
        <v>0</v>
      </c>
      <c r="X5" s="239"/>
      <c r="Y5" s="237">
        <f>SUMIF(Subcontracting!B:B,N5,Subcontracting!M:M)</f>
        <v>0</v>
      </c>
      <c r="Z5" s="240"/>
      <c r="AA5" s="241">
        <f t="shared" ref="AA5:AA16" si="3">SUM(Q5,S5,U5,W5,Y5)</f>
        <v>50580</v>
      </c>
    </row>
    <row r="6" spans="2:27" ht="15.75" thickBot="1" x14ac:dyDescent="0.3">
      <c r="B6" s="19">
        <v>1</v>
      </c>
      <c r="C6" s="12" t="s">
        <v>1</v>
      </c>
      <c r="D6" s="9">
        <v>306847</v>
      </c>
      <c r="E6" s="175">
        <f>Tabla3[[#Totals],[TOTAL CALCULATED]]</f>
        <v>231165</v>
      </c>
      <c r="F6" s="166">
        <f t="shared" ref="F6:F11" si="4">E6/D6</f>
        <v>0.75335590701554844</v>
      </c>
      <c r="G6" s="20"/>
      <c r="N6" s="58" t="s">
        <v>53</v>
      </c>
      <c r="O6" s="10" t="s">
        <v>120</v>
      </c>
      <c r="P6" s="58" t="s">
        <v>90</v>
      </c>
      <c r="Q6" s="235">
        <f>SUMIF('Staff Costs'!B:B,N6,'Staff Costs'!N:N)</f>
        <v>26474</v>
      </c>
      <c r="R6" s="236">
        <f t="shared" si="1"/>
        <v>0.61621898421861176</v>
      </c>
      <c r="S6" s="237">
        <f>SUMIF('Travel&amp;Costs of Stay'!B:B,N6,'Travel&amp;Costs of Stay'!N:N)</f>
        <v>0</v>
      </c>
      <c r="T6" s="238">
        <f t="shared" si="0"/>
        <v>0</v>
      </c>
      <c r="U6" s="237">
        <f>SUMIF('Travel&amp;Costs of Stay'!B:B,N6,'Travel&amp;Costs of Stay'!O:O)</f>
        <v>0</v>
      </c>
      <c r="V6" s="238">
        <f t="shared" si="2"/>
        <v>0</v>
      </c>
      <c r="W6" s="237">
        <f>SUMIF(Equipment!B:B,N6,Equipment!N:N)</f>
        <v>0</v>
      </c>
      <c r="X6" s="239"/>
      <c r="Y6" s="237">
        <f>SUMIF(Subcontracting!B:B,N6,Subcontracting!M:M)</f>
        <v>0</v>
      </c>
      <c r="Z6" s="240"/>
      <c r="AA6" s="241">
        <f t="shared" si="3"/>
        <v>26474</v>
      </c>
    </row>
    <row r="7" spans="2:27" x14ac:dyDescent="0.25">
      <c r="B7" s="19">
        <v>2</v>
      </c>
      <c r="C7" s="12" t="s">
        <v>2</v>
      </c>
      <c r="D7" s="9">
        <v>198150</v>
      </c>
      <c r="E7" s="175">
        <f>Tabla2[[#Totals],[MAX. TRAVEL COSTS]]</f>
        <v>10520</v>
      </c>
      <c r="F7" s="166">
        <f t="shared" si="4"/>
        <v>5.3091092606611157E-2</v>
      </c>
      <c r="G7" s="20"/>
      <c r="I7" s="7"/>
      <c r="J7" s="26" t="s">
        <v>383</v>
      </c>
      <c r="K7" s="27" t="s">
        <v>384</v>
      </c>
      <c r="L7" s="28" t="s">
        <v>385</v>
      </c>
      <c r="N7" s="58" t="s">
        <v>54</v>
      </c>
      <c r="O7" s="10" t="s">
        <v>804</v>
      </c>
      <c r="P7" s="58" t="s">
        <v>91</v>
      </c>
      <c r="Q7" s="235">
        <f>SUMIF('Staff Costs'!B:B,N7,'Staff Costs'!N:N)</f>
        <v>48551</v>
      </c>
      <c r="R7" s="236">
        <f t="shared" si="1"/>
        <v>0.76260111521244012</v>
      </c>
      <c r="S7" s="237">
        <f>SUMIF('Travel&amp;Costs of Stay'!B:B,N7,'Travel&amp;Costs of Stay'!N:N)</f>
        <v>0</v>
      </c>
      <c r="T7" s="238">
        <f t="shared" si="0"/>
        <v>0</v>
      </c>
      <c r="U7" s="237">
        <f>SUMIF('Travel&amp;Costs of Stay'!B:B,N7,'Travel&amp;Costs of Stay'!O:O)</f>
        <v>0</v>
      </c>
      <c r="V7" s="238">
        <f t="shared" si="2"/>
        <v>0</v>
      </c>
      <c r="W7" s="237">
        <f>SUMIF(Equipment!B:B,N7,Equipment!N:N)</f>
        <v>0</v>
      </c>
      <c r="X7" s="239"/>
      <c r="Y7" s="237">
        <f>SUMIF(Subcontracting!B:B,N7,Subcontracting!M:M)</f>
        <v>0</v>
      </c>
      <c r="Z7" s="240"/>
      <c r="AA7" s="241">
        <f t="shared" si="3"/>
        <v>48551</v>
      </c>
    </row>
    <row r="8" spans="2:27" ht="15.75" thickBot="1" x14ac:dyDescent="0.3">
      <c r="B8" s="19">
        <v>3</v>
      </c>
      <c r="C8" s="12" t="s">
        <v>3</v>
      </c>
      <c r="D8" s="9">
        <v>239280</v>
      </c>
      <c r="E8" s="175">
        <f>Tabla2[[#Totals],[MAX. COSTS OF STAY]]</f>
        <v>14280</v>
      </c>
      <c r="F8" s="166">
        <f t="shared" si="4"/>
        <v>5.9679037111334002E-2</v>
      </c>
      <c r="G8" s="20"/>
      <c r="I8" s="24" t="s">
        <v>10</v>
      </c>
      <c r="J8" s="29">
        <v>43852</v>
      </c>
      <c r="K8" s="30"/>
      <c r="L8" s="31"/>
      <c r="N8" s="58" t="s">
        <v>55</v>
      </c>
      <c r="O8" s="10" t="s">
        <v>448</v>
      </c>
      <c r="P8" s="58" t="s">
        <v>449</v>
      </c>
      <c r="Q8" s="235">
        <f>SUMIF('Staff Costs'!B:B,N8,'Staff Costs'!N:N)</f>
        <v>12258</v>
      </c>
      <c r="R8" s="236">
        <f t="shared" si="1"/>
        <v>0.75294840294840293</v>
      </c>
      <c r="S8" s="237">
        <f>SUMIF('Travel&amp;Costs of Stay'!B:B,N8,'Travel&amp;Costs of Stay'!N:N)</f>
        <v>825</v>
      </c>
      <c r="T8" s="238">
        <f t="shared" si="0"/>
        <v>3.3894823336072306E-2</v>
      </c>
      <c r="U8" s="237">
        <f>SUMIF('Travel&amp;Costs of Stay'!B:B,N8,'Travel&amp;Costs of Stay'!O:O)</f>
        <v>1440</v>
      </c>
      <c r="V8" s="238">
        <f t="shared" si="2"/>
        <v>4.4280442804428041E-2</v>
      </c>
      <c r="W8" s="242">
        <f>SUMIF(Equipment!B:B,N8,Equipment!N:N)</f>
        <v>5741.9581418400003</v>
      </c>
      <c r="X8" s="240">
        <f>W8/T26</f>
        <v>0.38857400973404616</v>
      </c>
      <c r="Y8" s="237">
        <f>SUMIF(Subcontracting!B:B,N8,Subcontracting!M:M)</f>
        <v>0</v>
      </c>
      <c r="Z8" s="240">
        <f t="shared" ref="Z5:Z17" si="5">Y8/U26</f>
        <v>0</v>
      </c>
      <c r="AA8" s="241">
        <f t="shared" si="3"/>
        <v>20264.958141840001</v>
      </c>
    </row>
    <row r="9" spans="2:27" ht="15.75" thickBot="1" x14ac:dyDescent="0.3">
      <c r="B9" s="19">
        <v>4</v>
      </c>
      <c r="C9" s="12" t="s">
        <v>4</v>
      </c>
      <c r="D9" s="9">
        <v>39777</v>
      </c>
      <c r="E9" s="175">
        <f>Tabla4[[#Totals],[AMOUNT CHARGED TO THE PROJECT]]</f>
        <v>31191.59508024</v>
      </c>
      <c r="F9" s="166">
        <f t="shared" si="4"/>
        <v>0.78416157780224749</v>
      </c>
      <c r="G9" s="20"/>
      <c r="I9" s="24" t="s">
        <v>46</v>
      </c>
      <c r="J9" s="33">
        <v>0.5</v>
      </c>
      <c r="K9" s="34">
        <v>0.4</v>
      </c>
      <c r="L9" s="35">
        <v>0.1</v>
      </c>
      <c r="N9" s="58" t="s">
        <v>56</v>
      </c>
      <c r="O9" s="10" t="s">
        <v>121</v>
      </c>
      <c r="P9" s="58" t="s">
        <v>92</v>
      </c>
      <c r="Q9" s="235">
        <f>SUMIF('Staff Costs'!B:B,N9,'Staff Costs'!N:N)</f>
        <v>10890</v>
      </c>
      <c r="R9" s="236">
        <f t="shared" si="1"/>
        <v>0.74614594039054472</v>
      </c>
      <c r="S9" s="237">
        <f>SUMIF('Travel&amp;Costs of Stay'!B:B,N9,'Travel&amp;Costs of Stay'!N:N)</f>
        <v>0</v>
      </c>
      <c r="T9" s="238">
        <f t="shared" si="0"/>
        <v>0</v>
      </c>
      <c r="U9" s="237">
        <f>SUMIF('Travel&amp;Costs of Stay'!B:B,N9,'Travel&amp;Costs of Stay'!O:O)</f>
        <v>0</v>
      </c>
      <c r="V9" s="238">
        <f t="shared" si="2"/>
        <v>0</v>
      </c>
      <c r="W9" s="237">
        <f>SUMIF(Equipment!B:B,N9,Equipment!N:N)</f>
        <v>0</v>
      </c>
      <c r="X9" s="240"/>
      <c r="Y9" s="242">
        <f>SUMIF(Subcontracting!B:B,N9,Subcontracting!M:M)</f>
        <v>1288.8030239999998</v>
      </c>
      <c r="Z9" s="240">
        <f t="shared" si="5"/>
        <v>0.23604450989010986</v>
      </c>
      <c r="AA9" s="241">
        <f t="shared" si="3"/>
        <v>12178.803024000001</v>
      </c>
    </row>
    <row r="10" spans="2:27" ht="15.75" thickBot="1" x14ac:dyDescent="0.3">
      <c r="B10" s="22">
        <v>5</v>
      </c>
      <c r="C10" s="23" t="s">
        <v>5</v>
      </c>
      <c r="D10" s="11">
        <v>22960</v>
      </c>
      <c r="E10" s="176">
        <f>Tabla47[[#Totals],[AMOUNT CHARGED TO THE PROJECT]]</f>
        <v>6018.6910239999997</v>
      </c>
      <c r="F10" s="167">
        <f t="shared" si="4"/>
        <v>0.26213811080139371</v>
      </c>
      <c r="G10" s="21"/>
      <c r="I10" s="25" t="s">
        <v>11</v>
      </c>
      <c r="J10" s="172">
        <f>D11/2</f>
        <v>403507</v>
      </c>
      <c r="K10" s="173">
        <f>D11*40/100</f>
        <v>322805.59999999998</v>
      </c>
      <c r="L10" s="174">
        <f>D11*10/100</f>
        <v>80701.399999999994</v>
      </c>
      <c r="N10" s="58" t="s">
        <v>57</v>
      </c>
      <c r="O10" s="10" t="s">
        <v>124</v>
      </c>
      <c r="P10" s="58" t="s">
        <v>92</v>
      </c>
      <c r="Q10" s="235">
        <f>SUMIF('Staff Costs'!B:B,N10,'Staff Costs'!N:N)</f>
        <v>3374</v>
      </c>
      <c r="R10" s="236">
        <f t="shared" si="1"/>
        <v>0.60574506283662477</v>
      </c>
      <c r="S10" s="237">
        <f>SUMIF('Travel&amp;Costs of Stay'!B:B,N10,'Travel&amp;Costs of Stay'!N:N)</f>
        <v>0</v>
      </c>
      <c r="T10" s="238">
        <f t="shared" si="0"/>
        <v>0</v>
      </c>
      <c r="U10" s="237">
        <f>SUMIF('Travel&amp;Costs of Stay'!B:B,N10,'Travel&amp;Costs of Stay'!O:O)</f>
        <v>0</v>
      </c>
      <c r="V10" s="238">
        <f t="shared" si="2"/>
        <v>0</v>
      </c>
      <c r="W10" s="242">
        <f>SUMIF(Equipment!B:B,N10,Equipment!N:N)</f>
        <v>4894.5</v>
      </c>
      <c r="X10" s="240">
        <f t="shared" ref="X9:X14" si="6">W10/T28</f>
        <v>0.97889999999999999</v>
      </c>
      <c r="Y10" s="237">
        <f>SUMIF(Subcontracting!B:B,N10,Subcontracting!M:M)</f>
        <v>0</v>
      </c>
      <c r="Z10" s="240">
        <f t="shared" si="5"/>
        <v>0</v>
      </c>
      <c r="AA10" s="241">
        <f t="shared" si="3"/>
        <v>8268.5</v>
      </c>
    </row>
    <row r="11" spans="2:27" ht="15.75" thickBot="1" x14ac:dyDescent="0.3">
      <c r="B11" s="191" t="s">
        <v>6</v>
      </c>
      <c r="C11" s="190" t="s">
        <v>7</v>
      </c>
      <c r="D11" s="189">
        <f>SUM(D6:D10)</f>
        <v>807014</v>
      </c>
      <c r="E11" s="177">
        <f>SUM(E6:E10)</f>
        <v>293175.28610423999</v>
      </c>
      <c r="F11" s="170">
        <f t="shared" si="4"/>
        <v>0.3632840150285373</v>
      </c>
      <c r="G11" s="4"/>
      <c r="I11" s="25" t="s">
        <v>228</v>
      </c>
      <c r="J11" s="169">
        <f>E11/J10</f>
        <v>0.7265680300570746</v>
      </c>
      <c r="K11" s="32"/>
      <c r="L11" s="171"/>
      <c r="N11" s="58" t="s">
        <v>58</v>
      </c>
      <c r="O11" s="10" t="s">
        <v>122</v>
      </c>
      <c r="P11" s="58" t="s">
        <v>92</v>
      </c>
      <c r="Q11" s="235">
        <f>SUMIF('Staff Costs'!B:B,N11,'Staff Costs'!N:N)</f>
        <v>3380</v>
      </c>
      <c r="R11" s="236">
        <f t="shared" si="1"/>
        <v>0.60682226211849188</v>
      </c>
      <c r="S11" s="237">
        <f>SUMIF('Travel&amp;Costs of Stay'!B:B,N11,'Travel&amp;Costs of Stay'!N:N)</f>
        <v>0</v>
      </c>
      <c r="T11" s="238">
        <f t="shared" si="0"/>
        <v>0</v>
      </c>
      <c r="U11" s="237">
        <f>SUMIF('Travel&amp;Costs of Stay'!B:B,N11,'Travel&amp;Costs of Stay'!O:O)</f>
        <v>0</v>
      </c>
      <c r="V11" s="238">
        <f t="shared" si="2"/>
        <v>0</v>
      </c>
      <c r="W11" s="242">
        <f>SUMIF(Equipment!B:B,N11,Equipment!N:N)</f>
        <v>4894.5</v>
      </c>
      <c r="X11" s="240">
        <f t="shared" si="6"/>
        <v>0.97889999999999999</v>
      </c>
      <c r="Y11" s="237">
        <f>SUMIF(Subcontracting!B:B,N11,Subcontracting!M:M)</f>
        <v>0</v>
      </c>
      <c r="Z11" s="240">
        <f t="shared" si="5"/>
        <v>0</v>
      </c>
      <c r="AA11" s="241">
        <f t="shared" si="3"/>
        <v>8274.5</v>
      </c>
    </row>
    <row r="12" spans="2:27" x14ac:dyDescent="0.25">
      <c r="B12" s="5"/>
      <c r="F12" s="6"/>
      <c r="G12" s="1"/>
      <c r="J12" s="180"/>
      <c r="N12" s="58" t="s">
        <v>59</v>
      </c>
      <c r="O12" s="10" t="s">
        <v>652</v>
      </c>
      <c r="P12" s="58" t="s">
        <v>449</v>
      </c>
      <c r="Q12" s="235">
        <f>SUMIF('Staff Costs'!B:B,N12,'Staff Costs'!N:N)</f>
        <v>9410</v>
      </c>
      <c r="R12" s="236">
        <f t="shared" si="1"/>
        <v>0.66454802259887003</v>
      </c>
      <c r="S12" s="237">
        <f>SUMIF('Travel&amp;Costs of Stay'!B:B,N12,'Travel&amp;Costs of Stay'!N:N)</f>
        <v>1100</v>
      </c>
      <c r="T12" s="238">
        <f t="shared" si="0"/>
        <v>4.5193097781429742E-2</v>
      </c>
      <c r="U12" s="237">
        <f>SUMIF('Travel&amp;Costs of Stay'!B:B,N12,'Travel&amp;Costs of Stay'!O:O)</f>
        <v>1920</v>
      </c>
      <c r="V12" s="238">
        <f t="shared" si="2"/>
        <v>5.9040590405904057E-2</v>
      </c>
      <c r="W12" s="242">
        <f>SUMIF(Equipment!B:B,N12,Equipment!N:N)</f>
        <v>4914.5433600000006</v>
      </c>
      <c r="X12" s="240">
        <f t="shared" si="6"/>
        <v>0.98290867200000009</v>
      </c>
      <c r="Y12" s="242">
        <f>SUMIF(Subcontracting!B:B,N12,Subcontracting!M:M)</f>
        <v>1014.8879999999999</v>
      </c>
      <c r="Z12" s="240">
        <f t="shared" si="5"/>
        <v>1.014888</v>
      </c>
      <c r="AA12" s="241">
        <f t="shared" si="3"/>
        <v>18359.431359999999</v>
      </c>
    </row>
    <row r="13" spans="2:27" x14ac:dyDescent="0.25">
      <c r="J13" s="180"/>
      <c r="M13" s="8"/>
      <c r="N13" s="58" t="s">
        <v>60</v>
      </c>
      <c r="O13" s="10" t="s">
        <v>125</v>
      </c>
      <c r="P13" s="58" t="s">
        <v>93</v>
      </c>
      <c r="Q13" s="235">
        <f>SUMIF('Staff Costs'!B:B,N13,'Staff Costs'!N:N)</f>
        <v>3132</v>
      </c>
      <c r="R13" s="236">
        <f t="shared" si="1"/>
        <v>0.47963246554364469</v>
      </c>
      <c r="S13" s="237">
        <f>SUMIF('Travel&amp;Costs of Stay'!B:B,N13,'Travel&amp;Costs of Stay'!N:N)</f>
        <v>1100</v>
      </c>
      <c r="T13" s="238">
        <f t="shared" si="0"/>
        <v>4.6237915090374108E-2</v>
      </c>
      <c r="U13" s="237">
        <f>SUMIF('Travel&amp;Costs of Stay'!B:B,N13,'Travel&amp;Costs of Stay'!O:O)</f>
        <v>1680</v>
      </c>
      <c r="V13" s="238">
        <f t="shared" si="2"/>
        <v>5.2830188679245285E-2</v>
      </c>
      <c r="W13" s="242">
        <f>SUMIF(Equipment!B:B,N13,Equipment!N:N)</f>
        <v>5329.7983464000008</v>
      </c>
      <c r="X13" s="240">
        <f t="shared" si="6"/>
        <v>1.0659596692800002</v>
      </c>
      <c r="Y13" s="237">
        <f>SUMIF(Subcontracting!B:B,N13,Subcontracting!M:M)</f>
        <v>0</v>
      </c>
      <c r="Z13" s="240">
        <f t="shared" si="5"/>
        <v>0</v>
      </c>
      <c r="AA13" s="241">
        <f t="shared" si="3"/>
        <v>11241.798346400001</v>
      </c>
    </row>
    <row r="14" spans="2:27" x14ac:dyDescent="0.25">
      <c r="N14" s="58" t="s">
        <v>61</v>
      </c>
      <c r="O14" s="10" t="s">
        <v>123</v>
      </c>
      <c r="P14" s="58" t="s">
        <v>93</v>
      </c>
      <c r="Q14" s="235">
        <f>SUMIF('Staff Costs'!B:B,N14,'Staff Costs'!N:N)</f>
        <v>5631</v>
      </c>
      <c r="R14" s="236">
        <f t="shared" si="1"/>
        <v>0.66639053254437874</v>
      </c>
      <c r="S14" s="237">
        <f>SUMIF('Travel&amp;Costs of Stay'!B:B,N14,'Travel&amp;Costs of Stay'!N:N)</f>
        <v>1460</v>
      </c>
      <c r="T14" s="238">
        <f t="shared" si="0"/>
        <v>6.0455486542443065E-2</v>
      </c>
      <c r="U14" s="237">
        <f>SUMIF('Travel&amp;Costs of Stay'!B:B,N14,'Travel&amp;Costs of Stay'!O:O)</f>
        <v>2160</v>
      </c>
      <c r="V14" s="238">
        <f t="shared" si="2"/>
        <v>6.6914498141263934E-2</v>
      </c>
      <c r="W14" s="242">
        <f>SUMIF(Equipment!B:B,N14,Equipment!N:N)</f>
        <v>5416.2952320000004</v>
      </c>
      <c r="X14" s="240">
        <f t="shared" si="6"/>
        <v>1.0832590464</v>
      </c>
      <c r="Y14" s="237">
        <f>SUMIF(Subcontracting!B:B,N14,Subcontracting!M:M)</f>
        <v>0</v>
      </c>
      <c r="Z14" s="240">
        <f t="shared" si="5"/>
        <v>0</v>
      </c>
      <c r="AA14" s="241">
        <f t="shared" si="3"/>
        <v>14667.295232</v>
      </c>
    </row>
    <row r="15" spans="2:27" x14ac:dyDescent="0.25">
      <c r="N15" s="58" t="s">
        <v>62</v>
      </c>
      <c r="O15" s="10" t="s">
        <v>110</v>
      </c>
      <c r="P15" s="58" t="s">
        <v>92</v>
      </c>
      <c r="Q15" s="235">
        <f>SUMIF('Staff Costs'!B:B,N15,'Staff Costs'!N:N)</f>
        <v>564</v>
      </c>
      <c r="R15" s="236">
        <f t="shared" si="1"/>
        <v>0.8</v>
      </c>
      <c r="S15" s="237">
        <f>SUMIF('Travel&amp;Costs of Stay'!B:B,N15,'Travel&amp;Costs of Stay'!N:N)</f>
        <v>0</v>
      </c>
      <c r="T15" s="238">
        <f t="shared" si="0"/>
        <v>0</v>
      </c>
      <c r="U15" s="237">
        <f>SUMIF('Travel&amp;Costs of Stay'!B:B,N15,'Travel&amp;Costs of Stay'!O:O)</f>
        <v>0</v>
      </c>
      <c r="V15" s="238">
        <f t="shared" si="2"/>
        <v>0</v>
      </c>
      <c r="W15" s="237">
        <f>SUMIF(Equipment!B:B,N15,Equipment!N:N)</f>
        <v>0</v>
      </c>
      <c r="X15" s="239"/>
      <c r="Y15" s="237">
        <f>SUMIF(Subcontracting!B:B,N15,Subcontracting!M:M)</f>
        <v>0</v>
      </c>
      <c r="Z15" s="240"/>
      <c r="AA15" s="241">
        <f t="shared" si="3"/>
        <v>564</v>
      </c>
    </row>
    <row r="16" spans="2:27" x14ac:dyDescent="0.25">
      <c r="N16" s="58" t="s">
        <v>86</v>
      </c>
      <c r="O16" s="10" t="s">
        <v>111</v>
      </c>
      <c r="P16" s="58" t="s">
        <v>93</v>
      </c>
      <c r="Q16" s="235">
        <f>SUMIF('Staff Costs'!B:B,N16,'Staff Costs'!N:N)</f>
        <v>0</v>
      </c>
      <c r="R16" s="236">
        <f t="shared" si="1"/>
        <v>0</v>
      </c>
      <c r="S16" s="237">
        <f>SUMIF('Travel&amp;Costs of Stay'!B:B,N16,'Travel&amp;Costs of Stay'!N:N)</f>
        <v>1100</v>
      </c>
      <c r="T16" s="238">
        <f t="shared" si="0"/>
        <v>0.26829268292682928</v>
      </c>
      <c r="U16" s="237">
        <f>SUMIF('Travel&amp;Costs of Stay'!B:B,N16,'Travel&amp;Costs of Stay'!O:O)</f>
        <v>1680</v>
      </c>
      <c r="V16" s="238">
        <f t="shared" si="2"/>
        <v>0.53846153846153844</v>
      </c>
      <c r="W16" s="237">
        <f>SUMIF(Equipment!B:B,N16,Equipment!N:N)</f>
        <v>0</v>
      </c>
      <c r="X16" s="239"/>
      <c r="Y16" s="237">
        <f>SUMIF(Subcontracting!B:B,N16,Subcontracting!M:M)</f>
        <v>0</v>
      </c>
      <c r="Z16" s="240"/>
      <c r="AA16" s="241">
        <f t="shared" si="3"/>
        <v>2780</v>
      </c>
    </row>
    <row r="17" spans="14:27" x14ac:dyDescent="0.25">
      <c r="N17" s="58" t="s">
        <v>113</v>
      </c>
      <c r="O17" s="10" t="s">
        <v>112</v>
      </c>
      <c r="P17" s="58" t="s">
        <v>449</v>
      </c>
      <c r="Q17" s="235">
        <f>SUMIF('Staff Costs'!B:B,N17,'Staff Costs'!N:N)</f>
        <v>0</v>
      </c>
      <c r="R17" s="236">
        <f t="shared" si="1"/>
        <v>0</v>
      </c>
      <c r="S17" s="237">
        <f>SUMIF('Travel&amp;Costs of Stay'!B:B,N17,'Travel&amp;Costs of Stay'!N:N)</f>
        <v>1100</v>
      </c>
      <c r="T17" s="238">
        <f t="shared" si="0"/>
        <v>0.26829268292682928</v>
      </c>
      <c r="U17" s="237">
        <f>SUMIF('Travel&amp;Costs of Stay'!B:B,N17,'Travel&amp;Costs of Stay'!O:O)</f>
        <v>1920</v>
      </c>
      <c r="V17" s="238">
        <f t="shared" si="2"/>
        <v>0.61538461538461542</v>
      </c>
      <c r="W17" s="237">
        <f>SUMIF(Equipment!B:B,N17,Equipment!N:N)</f>
        <v>0</v>
      </c>
      <c r="X17" s="239"/>
      <c r="Y17" s="237">
        <f>SUMIF(Subcontracting!B:B,N17,Subcontracting!M:M)</f>
        <v>0</v>
      </c>
      <c r="Z17" s="240"/>
      <c r="AA17" s="241">
        <f>SUM(Q17,S17,U17,W17,Y17)</f>
        <v>3020</v>
      </c>
    </row>
    <row r="18" spans="14:27" x14ac:dyDescent="0.25">
      <c r="N18" s="60"/>
      <c r="O18" s="59"/>
      <c r="P18" s="60"/>
      <c r="Q18" s="63">
        <f>SUM(Q4:Q17)</f>
        <v>231165</v>
      </c>
      <c r="R18" s="270">
        <f>Q18/Q36</f>
        <v>0.75335590701554844</v>
      </c>
      <c r="S18" s="243">
        <f>SUM(S4:S17)</f>
        <v>10520</v>
      </c>
      <c r="T18" s="271">
        <f>S18/R36</f>
        <v>5.3091092606611157E-2</v>
      </c>
      <c r="U18" s="243">
        <f>SUM(U4:U17)</f>
        <v>14280</v>
      </c>
      <c r="V18" s="271">
        <f>U18/S36</f>
        <v>5.9679037111334002E-2</v>
      </c>
      <c r="W18" s="243">
        <f>SUM(W4:W17)</f>
        <v>31191.59508024</v>
      </c>
      <c r="X18" s="271">
        <f>W18/T36</f>
        <v>0.78416157780224749</v>
      </c>
      <c r="Y18" s="243">
        <f>SUM(Y4:Y17)</f>
        <v>6018.6910239999997</v>
      </c>
      <c r="Z18" s="271">
        <f>Y18/U36</f>
        <v>0.26213811080139371</v>
      </c>
      <c r="AA18" s="244">
        <f>SUM(Q18,S18,U18,W18,Y18)</f>
        <v>293175.28610423999</v>
      </c>
    </row>
    <row r="20" spans="14:27" hidden="1" x14ac:dyDescent="0.25">
      <c r="N20" s="225"/>
      <c r="O20" s="226"/>
      <c r="P20" s="226"/>
      <c r="Q20" s="245" t="s">
        <v>8</v>
      </c>
      <c r="R20" s="246"/>
      <c r="S20" s="246"/>
      <c r="T20" s="246"/>
      <c r="U20" s="246"/>
      <c r="V20" s="247"/>
    </row>
    <row r="21" spans="14:27" hidden="1" x14ac:dyDescent="0.25">
      <c r="N21" s="227" t="s">
        <v>50</v>
      </c>
      <c r="O21" s="227" t="s">
        <v>68</v>
      </c>
      <c r="P21" s="227" t="s">
        <v>14</v>
      </c>
      <c r="Q21" s="227" t="s">
        <v>1</v>
      </c>
      <c r="R21" s="227" t="s">
        <v>2</v>
      </c>
      <c r="S21" s="227" t="s">
        <v>3</v>
      </c>
      <c r="T21" s="227" t="s">
        <v>386</v>
      </c>
      <c r="U21" s="227" t="s">
        <v>460</v>
      </c>
      <c r="V21" s="227" t="s">
        <v>29</v>
      </c>
    </row>
    <row r="22" spans="14:27" hidden="1" x14ac:dyDescent="0.25">
      <c r="N22" s="58" t="s">
        <v>51</v>
      </c>
      <c r="O22" s="10" t="s">
        <v>94</v>
      </c>
      <c r="P22" s="58" t="s">
        <v>63</v>
      </c>
      <c r="Q22" s="61">
        <v>75685</v>
      </c>
      <c r="R22" s="61">
        <v>9045</v>
      </c>
      <c r="S22" s="61">
        <v>8280</v>
      </c>
      <c r="T22" s="61" t="s">
        <v>127</v>
      </c>
      <c r="U22" s="61">
        <v>12500</v>
      </c>
      <c r="V22" s="61">
        <f>SUM(Tabla58[[#This Row],[Staff Costs]:[Subcontrac.]])</f>
        <v>105510</v>
      </c>
    </row>
    <row r="23" spans="14:27" hidden="1" x14ac:dyDescent="0.25">
      <c r="N23" s="58" t="s">
        <v>52</v>
      </c>
      <c r="O23" s="10" t="s">
        <v>96</v>
      </c>
      <c r="P23" s="58" t="s">
        <v>63</v>
      </c>
      <c r="Q23" s="61">
        <v>51435</v>
      </c>
      <c r="R23" s="61">
        <v>8770</v>
      </c>
      <c r="S23" s="61">
        <v>7920</v>
      </c>
      <c r="T23" s="61" t="s">
        <v>127</v>
      </c>
      <c r="U23" s="61" t="s">
        <v>127</v>
      </c>
      <c r="V23" s="61">
        <f>SUM(Tabla58[[#This Row],[Staff Costs]:[Subcontrac.]])</f>
        <v>68125</v>
      </c>
    </row>
    <row r="24" spans="14:27" hidden="1" x14ac:dyDescent="0.25">
      <c r="N24" s="58" t="s">
        <v>53</v>
      </c>
      <c r="O24" s="10" t="s">
        <v>97</v>
      </c>
      <c r="P24" s="58" t="s">
        <v>90</v>
      </c>
      <c r="Q24" s="61">
        <v>42962</v>
      </c>
      <c r="R24" s="61">
        <v>8495</v>
      </c>
      <c r="S24" s="61">
        <v>7800</v>
      </c>
      <c r="T24" s="61" t="s">
        <v>127</v>
      </c>
      <c r="U24" s="61" t="s">
        <v>127</v>
      </c>
      <c r="V24" s="61">
        <f>SUM(Tabla58[[#This Row],[Staff Costs]:[Subcontrac.]])</f>
        <v>59257</v>
      </c>
    </row>
    <row r="25" spans="14:27" hidden="1" x14ac:dyDescent="0.25">
      <c r="N25" s="58" t="s">
        <v>54</v>
      </c>
      <c r="O25" s="10" t="s">
        <v>99</v>
      </c>
      <c r="P25" s="58" t="s">
        <v>91</v>
      </c>
      <c r="Q25" s="61">
        <v>63665</v>
      </c>
      <c r="R25" s="61">
        <v>8770</v>
      </c>
      <c r="S25" s="61">
        <v>8160</v>
      </c>
      <c r="T25" s="61" t="s">
        <v>127</v>
      </c>
      <c r="U25" s="61" t="s">
        <v>127</v>
      </c>
      <c r="V25" s="61">
        <f>SUM(Tabla58[[#This Row],[Staff Costs]:[Subcontrac.]])</f>
        <v>80595</v>
      </c>
    </row>
    <row r="26" spans="14:27" hidden="1" x14ac:dyDescent="0.25">
      <c r="N26" s="58" t="s">
        <v>55</v>
      </c>
      <c r="O26" s="10" t="s">
        <v>805</v>
      </c>
      <c r="P26" s="58" t="s">
        <v>449</v>
      </c>
      <c r="Q26" s="61">
        <v>16280</v>
      </c>
      <c r="R26" s="61">
        <v>24340</v>
      </c>
      <c r="S26" s="61">
        <v>32520</v>
      </c>
      <c r="T26" s="61">
        <v>14777</v>
      </c>
      <c r="U26" s="61">
        <v>1000</v>
      </c>
      <c r="V26" s="61">
        <f>SUM(Tabla58[[#This Row],[Staff Costs]:[Subcontrac.]])</f>
        <v>88917</v>
      </c>
    </row>
    <row r="27" spans="14:27" hidden="1" x14ac:dyDescent="0.25">
      <c r="N27" s="58" t="s">
        <v>56</v>
      </c>
      <c r="O27" s="10" t="s">
        <v>102</v>
      </c>
      <c r="P27" s="58" t="s">
        <v>92</v>
      </c>
      <c r="Q27" s="61">
        <v>14595</v>
      </c>
      <c r="R27" s="61">
        <v>6570</v>
      </c>
      <c r="S27" s="61">
        <v>5040</v>
      </c>
      <c r="T27" s="61" t="s">
        <v>127</v>
      </c>
      <c r="U27" s="61">
        <v>5460</v>
      </c>
      <c r="V27" s="61">
        <f>SUM(Tabla58[[#This Row],[Staff Costs]:[Subcontrac.]])</f>
        <v>31665</v>
      </c>
    </row>
    <row r="28" spans="14:27" hidden="1" x14ac:dyDescent="0.25">
      <c r="N28" s="58" t="s">
        <v>57</v>
      </c>
      <c r="O28" s="10" t="s">
        <v>104</v>
      </c>
      <c r="P28" s="58" t="s">
        <v>92</v>
      </c>
      <c r="Q28" s="61">
        <v>5570</v>
      </c>
      <c r="R28" s="61">
        <v>23790</v>
      </c>
      <c r="S28" s="61">
        <v>31800</v>
      </c>
      <c r="T28" s="61">
        <v>5000</v>
      </c>
      <c r="U28" s="61">
        <v>500</v>
      </c>
      <c r="V28" s="61">
        <f>SUM(Tabla58[[#This Row],[Staff Costs]:[Subcontrac.]])</f>
        <v>66660</v>
      </c>
    </row>
    <row r="29" spans="14:27" hidden="1" x14ac:dyDescent="0.25">
      <c r="N29" s="58" t="s">
        <v>58</v>
      </c>
      <c r="O29" s="10" t="s">
        <v>105</v>
      </c>
      <c r="P29" s="58" t="s">
        <v>92</v>
      </c>
      <c r="Q29" s="61">
        <v>5570</v>
      </c>
      <c r="R29" s="61">
        <v>23790</v>
      </c>
      <c r="S29" s="61">
        <v>31800</v>
      </c>
      <c r="T29" s="61">
        <v>5000</v>
      </c>
      <c r="U29" s="61">
        <v>500</v>
      </c>
      <c r="V29" s="61">
        <f>SUM(Tabla58[[#This Row],[Staff Costs]:[Subcontrac.]])</f>
        <v>66660</v>
      </c>
    </row>
    <row r="30" spans="14:27" hidden="1" x14ac:dyDescent="0.25">
      <c r="N30" s="58" t="s">
        <v>59</v>
      </c>
      <c r="O30" s="10" t="s">
        <v>806</v>
      </c>
      <c r="P30" s="58" t="s">
        <v>449</v>
      </c>
      <c r="Q30" s="61">
        <v>14160</v>
      </c>
      <c r="R30" s="61">
        <v>24340</v>
      </c>
      <c r="S30" s="61">
        <v>32520</v>
      </c>
      <c r="T30" s="61">
        <v>5000</v>
      </c>
      <c r="U30" s="61">
        <v>1000</v>
      </c>
      <c r="V30" s="61">
        <f>SUM(Tabla58[[#This Row],[Staff Costs]:[Subcontrac.]])</f>
        <v>77020</v>
      </c>
    </row>
    <row r="31" spans="14:27" hidden="1" x14ac:dyDescent="0.25">
      <c r="N31" s="58" t="s">
        <v>60</v>
      </c>
      <c r="O31" s="10" t="s">
        <v>107</v>
      </c>
      <c r="P31" s="58" t="s">
        <v>93</v>
      </c>
      <c r="Q31" s="61">
        <v>6530</v>
      </c>
      <c r="R31" s="61">
        <v>23790</v>
      </c>
      <c r="S31" s="61">
        <v>31800</v>
      </c>
      <c r="T31" s="61">
        <v>5000</v>
      </c>
      <c r="U31" s="61">
        <v>1000</v>
      </c>
      <c r="V31" s="61">
        <f>SUM(Tabla58[[#This Row],[Staff Costs]:[Subcontrac.]])</f>
        <v>68120</v>
      </c>
    </row>
    <row r="32" spans="14:27" hidden="1" x14ac:dyDescent="0.25">
      <c r="N32" s="58" t="s">
        <v>61</v>
      </c>
      <c r="O32" s="10" t="s">
        <v>109</v>
      </c>
      <c r="P32" s="58" t="s">
        <v>93</v>
      </c>
      <c r="Q32" s="61">
        <v>8450</v>
      </c>
      <c r="R32" s="61">
        <v>24150</v>
      </c>
      <c r="S32" s="61">
        <v>32280</v>
      </c>
      <c r="T32" s="61">
        <v>5000</v>
      </c>
      <c r="U32" s="61">
        <v>1000</v>
      </c>
      <c r="V32" s="61">
        <f>SUM(Tabla58[[#This Row],[Staff Costs]:[Subcontrac.]])</f>
        <v>70880</v>
      </c>
    </row>
    <row r="33" spans="14:22" hidden="1" x14ac:dyDescent="0.25">
      <c r="N33" s="58" t="s">
        <v>62</v>
      </c>
      <c r="O33" s="10" t="s">
        <v>110</v>
      </c>
      <c r="P33" s="58" t="s">
        <v>92</v>
      </c>
      <c r="Q33" s="61">
        <v>705</v>
      </c>
      <c r="R33" s="61">
        <v>4100</v>
      </c>
      <c r="S33" s="61">
        <v>3120</v>
      </c>
      <c r="T33" s="61" t="s">
        <v>127</v>
      </c>
      <c r="U33" s="61" t="s">
        <v>127</v>
      </c>
      <c r="V33" s="61">
        <f>SUM(Tabla58[[#This Row],[Staff Costs]:[Subcontrac.]])</f>
        <v>7925</v>
      </c>
    </row>
    <row r="34" spans="14:22" hidden="1" x14ac:dyDescent="0.25">
      <c r="N34" s="58" t="s">
        <v>86</v>
      </c>
      <c r="O34" s="10" t="s">
        <v>111</v>
      </c>
      <c r="P34" s="58" t="s">
        <v>93</v>
      </c>
      <c r="Q34" s="61">
        <v>470</v>
      </c>
      <c r="R34" s="61">
        <v>4100</v>
      </c>
      <c r="S34" s="61">
        <v>3120</v>
      </c>
      <c r="T34" s="61" t="s">
        <v>127</v>
      </c>
      <c r="U34" s="61" t="s">
        <v>127</v>
      </c>
      <c r="V34" s="61">
        <f>SUM(Tabla58[[#This Row],[Staff Costs]:[Subcontrac.]])</f>
        <v>7690</v>
      </c>
    </row>
    <row r="35" spans="14:22" hidden="1" x14ac:dyDescent="0.25">
      <c r="N35" s="58" t="s">
        <v>113</v>
      </c>
      <c r="O35" s="10" t="s">
        <v>112</v>
      </c>
      <c r="P35" s="58" t="s">
        <v>449</v>
      </c>
      <c r="Q35" s="61">
        <v>770</v>
      </c>
      <c r="R35" s="61">
        <v>4100</v>
      </c>
      <c r="S35" s="61">
        <v>3120</v>
      </c>
      <c r="T35" s="61" t="s">
        <v>127</v>
      </c>
      <c r="U35" s="61" t="s">
        <v>127</v>
      </c>
      <c r="V35" s="61">
        <f>SUM(Tabla58[[#This Row],[Staff Costs]:[Subcontrac.]])</f>
        <v>7990</v>
      </c>
    </row>
    <row r="36" spans="14:22" hidden="1" x14ac:dyDescent="0.25">
      <c r="N36" s="60"/>
      <c r="O36" s="59"/>
      <c r="P36" s="60"/>
      <c r="Q36" s="62" t="s">
        <v>807</v>
      </c>
      <c r="R36" s="62" t="s">
        <v>808</v>
      </c>
      <c r="S36" s="62" t="s">
        <v>809</v>
      </c>
      <c r="T36" s="62" t="s">
        <v>810</v>
      </c>
      <c r="U36" s="62" t="s">
        <v>811</v>
      </c>
      <c r="V36" s="62" t="s">
        <v>812</v>
      </c>
    </row>
  </sheetData>
  <mergeCells count="7">
    <mergeCell ref="Q20:V20"/>
    <mergeCell ref="Q2:AA2"/>
    <mergeCell ref="B2:C2"/>
    <mergeCell ref="D2:F2"/>
    <mergeCell ref="B3:C3"/>
    <mergeCell ref="D3:F3"/>
    <mergeCell ref="B5:D5"/>
  </mergeCells>
  <conditionalFormatting sqref="F6:F9">
    <cfRule type="cellIs" dxfId="146" priority="7" operator="greaterThan">
      <formula>40</formula>
    </cfRule>
  </conditionalFormatting>
  <conditionalFormatting sqref="F10">
    <cfRule type="cellIs" dxfId="145" priority="5" operator="greaterThan">
      <formula>10</formula>
    </cfRule>
  </conditionalFormatting>
  <conditionalFormatting sqref="R4:R17 V4:V17 T4:T17 X4:X17 Z4:Z17">
    <cfRule type="dataBar" priority="1">
      <dataBar>
        <cfvo type="num" val="0"/>
        <cfvo type="num" val="1"/>
        <color theme="8"/>
      </dataBar>
      <extLst>
        <ext xmlns:x14="http://schemas.microsoft.com/office/spreadsheetml/2009/9/main" uri="{B025F937-C7B1-47D3-B67F-A62EFF666E3E}">
          <x14:id>{AB6A2BCD-BBA7-41BD-B38A-E44EC7363C00}</x14:id>
        </ext>
      </extLst>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B6A2BCD-BBA7-41BD-B38A-E44EC7363C00}">
            <x14:dataBar minLength="0" maxLength="100" gradient="0">
              <x14:cfvo type="num">
                <xm:f>0</xm:f>
              </x14:cfvo>
              <x14:cfvo type="num">
                <xm:f>1</xm:f>
              </x14:cfvo>
              <x14:negativeFillColor rgb="FFFF0000"/>
              <x14:axisColor rgb="FF000000"/>
            </x14:dataBar>
          </x14:cfRule>
          <xm:sqref>R4:R17 V4:V17 T4:T17 X4:X17 Z4:Z17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AH367"/>
  <sheetViews>
    <sheetView zoomScale="90" zoomScaleNormal="90" workbookViewId="0">
      <selection activeCell="A42" sqref="A42"/>
    </sheetView>
  </sheetViews>
  <sheetFormatPr baseColWidth="10" defaultColWidth="11.42578125" defaultRowHeight="15" x14ac:dyDescent="0.25"/>
  <cols>
    <col min="1" max="1" width="21.5703125" style="45" bestFit="1" customWidth="1"/>
    <col min="2" max="2" width="11.42578125" style="45" customWidth="1"/>
    <col min="3" max="3" width="46.7109375" style="45" bestFit="1" customWidth="1"/>
    <col min="4" max="4" width="11.42578125" style="45" customWidth="1"/>
    <col min="5" max="5" width="13.5703125" style="75" customWidth="1"/>
    <col min="6" max="6" width="25.42578125" style="45" customWidth="1"/>
    <col min="7" max="7" width="20.7109375" style="45" bestFit="1" customWidth="1"/>
    <col min="8" max="8" width="9.28515625" style="45" customWidth="1"/>
    <col min="9" max="9" width="29.85546875" style="45" customWidth="1"/>
    <col min="10" max="11" width="11.42578125" style="75"/>
    <col min="12" max="12" width="9.140625" style="45" customWidth="1"/>
    <col min="13" max="13" width="15.85546875" style="99" customWidth="1"/>
    <col min="14" max="14" width="12.5703125" style="99" customWidth="1"/>
    <col min="35" max="16384" width="11.42578125" style="45"/>
  </cols>
  <sheetData>
    <row r="1" spans="1:34" ht="24" x14ac:dyDescent="0.25">
      <c r="A1" s="88" t="s">
        <v>15</v>
      </c>
      <c r="B1" s="88" t="s">
        <v>16</v>
      </c>
      <c r="C1" s="88" t="s">
        <v>17</v>
      </c>
      <c r="D1" s="88" t="s">
        <v>18</v>
      </c>
      <c r="E1" s="88" t="s">
        <v>22</v>
      </c>
      <c r="F1" s="88" t="s">
        <v>30</v>
      </c>
      <c r="G1" s="88" t="s">
        <v>31</v>
      </c>
      <c r="H1" s="88" t="s">
        <v>209</v>
      </c>
      <c r="I1" s="88" t="s">
        <v>32</v>
      </c>
      <c r="J1" s="88" t="s">
        <v>33</v>
      </c>
      <c r="K1" s="88" t="s">
        <v>34</v>
      </c>
      <c r="L1" s="88" t="s">
        <v>35</v>
      </c>
      <c r="M1" s="98" t="s">
        <v>36</v>
      </c>
      <c r="N1" s="98" t="s">
        <v>37</v>
      </c>
    </row>
    <row r="2" spans="1:34" x14ac:dyDescent="0.25">
      <c r="A2" s="45" t="s">
        <v>74</v>
      </c>
      <c r="B2" s="45" t="s">
        <v>51</v>
      </c>
      <c r="C2" s="45" t="s">
        <v>94</v>
      </c>
      <c r="D2" s="75" t="s">
        <v>63</v>
      </c>
      <c r="E2" s="75" t="s">
        <v>393</v>
      </c>
      <c r="F2" s="45" t="s">
        <v>402</v>
      </c>
      <c r="G2" s="45" t="s">
        <v>229</v>
      </c>
      <c r="H2" s="45" t="s">
        <v>210</v>
      </c>
      <c r="I2" s="45" t="s">
        <v>405</v>
      </c>
      <c r="J2" s="78">
        <v>43845</v>
      </c>
      <c r="K2" s="78">
        <v>44026</v>
      </c>
      <c r="L2" s="45">
        <v>7</v>
      </c>
      <c r="M2" s="99">
        <f t="shared" ref="M2:M28" si="0">IF(AND(G2="Manager",D2="Spain"),164,IF(AND(G2="Teacher/Trainer/Researcher",D2="Spain"),137,IF(AND(G2="Technical Staff",D2="Spain"),102,IF(AND(G2="Administrative staff",D2="Spain"),78,IF(AND(G2="Manager",D2="Slovenia"),164,IF(AND(G2="Teacher/Trainer/Researcher",D2="Slovenia"),137,IF(AND(G2="Technical Staff",D2="Slovenia"),102,IF(AND(G2="Administrative staff",D2="Slovenia"),78,IF(AND(G2="Manager",D2="Italy"),280,IF(AND(G2="Teacher/Trainer/Researcher",D2="Italy"),214,IF(AND(G2="Technical Staff",D2="Italy"),162,IF(AND(G2="Administrative staff",D2="Italy"),131,IF(AND(G2="Manager",D2="Kazakhstan"),77,IF(AND(G2="Teacher/Trainer/Researcher",D2="Kazakhstan"),57,IF(AND(G2="Technical Staff",D2="Kazakhstan"),40,IF(AND(G2="Administrative staff",D2="Kazakhstan"),32,IF(AND(G2="Manager",D2="Turkmenistan"),47,IF(AND(G2="Teacher/Trainer/Researcher",D2="Turkmenistan"),33,IF(AND(G2="Technical Staff",D2="Turkmenistan"),22,IF(AND(G2="Administrative staff",D2="Turkmenistan"),17,IF(AND(G2="Manager",D2="Tajikistan"),47,IF(AND(G2="Teacher/Trainer/Researcher",D2="Tajikistan"),33,IF(AND(G2="Technical Staff",D2="Tajikistan"),22,IF(AND(G2="Administrative staff",D2="Tajikistan"),17,))))))))))))))))))))))))</f>
        <v>78</v>
      </c>
      <c r="N2" s="99">
        <f>Tabla3[[#This Row],[NUMBER OF DAYS]]*Tabla3[[#This Row],[MAX. UNIT COST PER DAY]]</f>
        <v>546</v>
      </c>
    </row>
    <row r="3" spans="1:34" x14ac:dyDescent="0.25">
      <c r="A3" s="157" t="s">
        <v>23</v>
      </c>
      <c r="B3" s="45" t="s">
        <v>51</v>
      </c>
      <c r="C3" s="45" t="s">
        <v>94</v>
      </c>
      <c r="D3" s="75" t="s">
        <v>63</v>
      </c>
      <c r="E3" s="159" t="s">
        <v>394</v>
      </c>
      <c r="F3" s="158" t="s">
        <v>402</v>
      </c>
      <c r="G3" s="158" t="s">
        <v>47</v>
      </c>
      <c r="H3" s="45" t="s">
        <v>211</v>
      </c>
      <c r="I3" s="158" t="s">
        <v>406</v>
      </c>
      <c r="J3" s="78">
        <v>43845</v>
      </c>
      <c r="K3" s="78">
        <v>44026</v>
      </c>
      <c r="L3" s="158">
        <v>6</v>
      </c>
      <c r="M3" s="99">
        <f t="shared" si="0"/>
        <v>164</v>
      </c>
      <c r="N3" s="160">
        <f>Tabla3[[#This Row],[NUMBER OF DAYS]]*Tabla3[[#This Row],[MAX. UNIT COST PER DAY]]</f>
        <v>984</v>
      </c>
      <c r="O3" s="168"/>
      <c r="P3" s="168"/>
      <c r="Q3" s="168"/>
      <c r="R3" s="168"/>
      <c r="S3" s="168"/>
      <c r="T3" s="168"/>
      <c r="U3" s="168"/>
      <c r="V3" s="168"/>
      <c r="W3" s="168"/>
      <c r="X3" s="168"/>
      <c r="Y3" s="168"/>
      <c r="Z3" s="168"/>
      <c r="AA3" s="168"/>
      <c r="AB3" s="168"/>
      <c r="AC3" s="168"/>
      <c r="AD3" s="168"/>
      <c r="AE3" s="168"/>
      <c r="AF3" s="168"/>
      <c r="AG3" s="168"/>
      <c r="AH3" s="168"/>
    </row>
    <row r="4" spans="1:34" x14ac:dyDescent="0.25">
      <c r="A4" s="45" t="s">
        <v>74</v>
      </c>
      <c r="B4" s="45" t="s">
        <v>51</v>
      </c>
      <c r="C4" s="45" t="s">
        <v>94</v>
      </c>
      <c r="D4" s="75" t="s">
        <v>63</v>
      </c>
      <c r="E4" s="159" t="s">
        <v>395</v>
      </c>
      <c r="F4" s="158" t="s">
        <v>403</v>
      </c>
      <c r="G4" s="158" t="s">
        <v>229</v>
      </c>
      <c r="H4" s="45" t="s">
        <v>210</v>
      </c>
      <c r="I4" s="158" t="s">
        <v>407</v>
      </c>
      <c r="J4" s="78">
        <v>43845</v>
      </c>
      <c r="K4" s="78">
        <v>44026</v>
      </c>
      <c r="L4" s="158">
        <v>10</v>
      </c>
      <c r="M4" s="99">
        <f t="shared" si="0"/>
        <v>78</v>
      </c>
      <c r="N4" s="160">
        <f>Tabla3[[#This Row],[NUMBER OF DAYS]]*Tabla3[[#This Row],[MAX. UNIT COST PER DAY]]</f>
        <v>780</v>
      </c>
      <c r="O4" s="168"/>
      <c r="P4" s="168"/>
      <c r="Q4" s="168"/>
      <c r="R4" s="168"/>
      <c r="S4" s="168"/>
      <c r="T4" s="168"/>
      <c r="U4" s="168"/>
      <c r="V4" s="168"/>
      <c r="W4" s="168"/>
      <c r="X4" s="168"/>
      <c r="Y4" s="168"/>
      <c r="Z4" s="168"/>
      <c r="AA4" s="168"/>
      <c r="AB4" s="168"/>
      <c r="AC4" s="168"/>
      <c r="AD4" s="168"/>
      <c r="AE4" s="168"/>
      <c r="AF4" s="168"/>
      <c r="AG4" s="168"/>
      <c r="AH4" s="168"/>
    </row>
    <row r="5" spans="1:34" x14ac:dyDescent="0.25">
      <c r="A5" s="157" t="s">
        <v>72</v>
      </c>
      <c r="B5" s="45" t="s">
        <v>51</v>
      </c>
      <c r="C5" s="45" t="s">
        <v>94</v>
      </c>
      <c r="D5" s="75" t="s">
        <v>63</v>
      </c>
      <c r="E5" s="159" t="s">
        <v>395</v>
      </c>
      <c r="F5" s="158" t="s">
        <v>403</v>
      </c>
      <c r="G5" s="158" t="s">
        <v>229</v>
      </c>
      <c r="H5" s="45" t="s">
        <v>212</v>
      </c>
      <c r="I5" s="158" t="s">
        <v>408</v>
      </c>
      <c r="J5" s="78">
        <v>43845</v>
      </c>
      <c r="K5" s="78">
        <v>44026</v>
      </c>
      <c r="L5" s="158">
        <v>5</v>
      </c>
      <c r="M5" s="99">
        <f t="shared" si="0"/>
        <v>78</v>
      </c>
      <c r="N5" s="160">
        <f>Tabla3[[#This Row],[NUMBER OF DAYS]]*Tabla3[[#This Row],[MAX. UNIT COST PER DAY]]</f>
        <v>390</v>
      </c>
      <c r="O5" s="168"/>
      <c r="P5" s="168"/>
      <c r="Q5" s="168"/>
      <c r="R5" s="168"/>
      <c r="S5" s="168"/>
      <c r="T5" s="168"/>
      <c r="U5" s="168"/>
      <c r="V5" s="168"/>
      <c r="W5" s="168"/>
      <c r="X5" s="168"/>
      <c r="Y5" s="168"/>
      <c r="Z5" s="168"/>
      <c r="AA5" s="168"/>
      <c r="AB5" s="168"/>
      <c r="AC5" s="168"/>
      <c r="AD5" s="168"/>
      <c r="AE5" s="168"/>
      <c r="AF5" s="168"/>
      <c r="AG5" s="168"/>
      <c r="AH5" s="168"/>
    </row>
    <row r="6" spans="1:34" x14ac:dyDescent="0.25">
      <c r="A6" s="157" t="s">
        <v>73</v>
      </c>
      <c r="B6" s="45" t="s">
        <v>51</v>
      </c>
      <c r="C6" s="45" t="s">
        <v>94</v>
      </c>
      <c r="D6" s="75" t="s">
        <v>63</v>
      </c>
      <c r="E6" s="159" t="s">
        <v>395</v>
      </c>
      <c r="F6" s="158" t="s">
        <v>403</v>
      </c>
      <c r="G6" s="158" t="s">
        <v>229</v>
      </c>
      <c r="H6" s="45" t="s">
        <v>213</v>
      </c>
      <c r="I6" s="158" t="s">
        <v>409</v>
      </c>
      <c r="J6" s="78">
        <v>43845</v>
      </c>
      <c r="K6" s="78">
        <v>44026</v>
      </c>
      <c r="L6" s="158">
        <v>3</v>
      </c>
      <c r="M6" s="99">
        <f t="shared" si="0"/>
        <v>78</v>
      </c>
      <c r="N6" s="160">
        <f>Tabla3[[#This Row],[NUMBER OF DAYS]]*Tabla3[[#This Row],[MAX. UNIT COST PER DAY]]</f>
        <v>234</v>
      </c>
      <c r="O6" s="168"/>
      <c r="P6" s="168"/>
      <c r="Q6" s="168"/>
      <c r="R6" s="168"/>
      <c r="S6" s="168"/>
      <c r="T6" s="168"/>
      <c r="U6" s="168"/>
      <c r="V6" s="168"/>
      <c r="W6" s="168"/>
      <c r="X6" s="168"/>
      <c r="Y6" s="168"/>
      <c r="Z6" s="168"/>
      <c r="AA6" s="168"/>
      <c r="AB6" s="168"/>
      <c r="AC6" s="168"/>
      <c r="AD6" s="168"/>
      <c r="AE6" s="168"/>
      <c r="AF6" s="168"/>
      <c r="AG6" s="168"/>
      <c r="AH6" s="168"/>
    </row>
    <row r="7" spans="1:34" x14ac:dyDescent="0.25">
      <c r="A7" s="45" t="s">
        <v>74</v>
      </c>
      <c r="B7" s="45" t="s">
        <v>51</v>
      </c>
      <c r="C7" s="45" t="s">
        <v>94</v>
      </c>
      <c r="D7" s="75" t="s">
        <v>63</v>
      </c>
      <c r="E7" s="159" t="s">
        <v>396</v>
      </c>
      <c r="F7" s="158" t="s">
        <v>403</v>
      </c>
      <c r="G7" s="158" t="s">
        <v>47</v>
      </c>
      <c r="H7" s="45" t="s">
        <v>210</v>
      </c>
      <c r="I7" s="158" t="s">
        <v>410</v>
      </c>
      <c r="J7" s="78">
        <v>43845</v>
      </c>
      <c r="K7" s="78">
        <v>44026</v>
      </c>
      <c r="L7" s="158">
        <v>21</v>
      </c>
      <c r="M7" s="99">
        <f t="shared" si="0"/>
        <v>164</v>
      </c>
      <c r="N7" s="160">
        <f>Tabla3[[#This Row],[NUMBER OF DAYS]]*Tabla3[[#This Row],[MAX. UNIT COST PER DAY]]</f>
        <v>3444</v>
      </c>
      <c r="O7" s="168"/>
      <c r="P7" s="168"/>
      <c r="Q7" s="168"/>
      <c r="R7" s="168"/>
      <c r="S7" s="168"/>
      <c r="T7" s="168"/>
      <c r="U7" s="168"/>
      <c r="V7" s="168"/>
      <c r="W7" s="168"/>
      <c r="X7" s="168"/>
      <c r="Y7" s="168"/>
      <c r="Z7" s="168"/>
      <c r="AA7" s="168"/>
      <c r="AB7" s="168"/>
      <c r="AC7" s="168"/>
      <c r="AD7" s="168"/>
      <c r="AE7" s="168"/>
      <c r="AF7" s="168"/>
      <c r="AG7" s="168"/>
      <c r="AH7" s="168"/>
    </row>
    <row r="8" spans="1:34" x14ac:dyDescent="0.25">
      <c r="A8" s="157" t="s">
        <v>23</v>
      </c>
      <c r="B8" s="45" t="s">
        <v>51</v>
      </c>
      <c r="C8" s="45" t="s">
        <v>94</v>
      </c>
      <c r="D8" s="75" t="s">
        <v>63</v>
      </c>
      <c r="E8" s="159" t="s">
        <v>396</v>
      </c>
      <c r="F8" s="158" t="s">
        <v>403</v>
      </c>
      <c r="G8" s="158" t="s">
        <v>47</v>
      </c>
      <c r="H8" s="45" t="s">
        <v>211</v>
      </c>
      <c r="I8" s="158" t="s">
        <v>411</v>
      </c>
      <c r="J8" s="78">
        <v>43845</v>
      </c>
      <c r="K8" s="78">
        <v>44026</v>
      </c>
      <c r="L8" s="158">
        <v>24</v>
      </c>
      <c r="M8" s="99">
        <f t="shared" si="0"/>
        <v>164</v>
      </c>
      <c r="N8" s="160">
        <f>Tabla3[[#This Row],[NUMBER OF DAYS]]*Tabla3[[#This Row],[MAX. UNIT COST PER DAY]]</f>
        <v>3936</v>
      </c>
      <c r="O8" s="168"/>
      <c r="P8" s="168"/>
      <c r="Q8" s="168"/>
      <c r="R8" s="168"/>
      <c r="S8" s="168"/>
      <c r="T8" s="168"/>
      <c r="U8" s="168"/>
      <c r="V8" s="168"/>
      <c r="W8" s="168"/>
      <c r="X8" s="168"/>
      <c r="Y8" s="168"/>
      <c r="Z8" s="168"/>
      <c r="AA8" s="168"/>
      <c r="AB8" s="168"/>
      <c r="AC8" s="168"/>
      <c r="AD8" s="168"/>
      <c r="AE8" s="168"/>
      <c r="AF8" s="168"/>
      <c r="AG8" s="168"/>
      <c r="AH8" s="168"/>
    </row>
    <row r="9" spans="1:34" x14ac:dyDescent="0.25">
      <c r="A9" s="157" t="s">
        <v>24</v>
      </c>
      <c r="B9" s="45" t="s">
        <v>51</v>
      </c>
      <c r="C9" s="45" t="s">
        <v>94</v>
      </c>
      <c r="D9" s="75" t="s">
        <v>63</v>
      </c>
      <c r="E9" s="159" t="s">
        <v>396</v>
      </c>
      <c r="F9" s="158" t="s">
        <v>403</v>
      </c>
      <c r="G9" s="158" t="s">
        <v>47</v>
      </c>
      <c r="H9" s="45" t="s">
        <v>225</v>
      </c>
      <c r="I9" s="158" t="s">
        <v>412</v>
      </c>
      <c r="J9" s="78">
        <v>43845</v>
      </c>
      <c r="K9" s="78">
        <v>44026</v>
      </c>
      <c r="L9" s="158">
        <v>1</v>
      </c>
      <c r="M9" s="99">
        <f t="shared" si="0"/>
        <v>164</v>
      </c>
      <c r="N9" s="160">
        <f>Tabla3[[#This Row],[NUMBER OF DAYS]]*Tabla3[[#This Row],[MAX. UNIT COST PER DAY]]</f>
        <v>164</v>
      </c>
      <c r="O9" s="168"/>
      <c r="P9" s="168"/>
      <c r="Q9" s="168"/>
      <c r="R9" s="168"/>
      <c r="S9" s="168"/>
      <c r="T9" s="168"/>
      <c r="U9" s="168"/>
      <c r="V9" s="168"/>
      <c r="W9" s="168"/>
      <c r="X9" s="168"/>
      <c r="Y9" s="168"/>
      <c r="Z9" s="168"/>
      <c r="AA9" s="168"/>
      <c r="AB9" s="168"/>
      <c r="AC9" s="168"/>
      <c r="AD9" s="168"/>
      <c r="AE9" s="168"/>
      <c r="AF9" s="168"/>
      <c r="AG9" s="168"/>
      <c r="AH9" s="168"/>
    </row>
    <row r="10" spans="1:34" x14ac:dyDescent="0.25">
      <c r="A10" s="157" t="s">
        <v>72</v>
      </c>
      <c r="B10" s="45" t="s">
        <v>51</v>
      </c>
      <c r="C10" s="45" t="s">
        <v>94</v>
      </c>
      <c r="D10" s="75" t="s">
        <v>63</v>
      </c>
      <c r="E10" s="159" t="s">
        <v>396</v>
      </c>
      <c r="F10" s="158" t="s">
        <v>403</v>
      </c>
      <c r="G10" s="158" t="s">
        <v>47</v>
      </c>
      <c r="H10" s="45" t="s">
        <v>212</v>
      </c>
      <c r="I10" s="158" t="s">
        <v>413</v>
      </c>
      <c r="J10" s="78">
        <v>43845</v>
      </c>
      <c r="K10" s="78">
        <v>44026</v>
      </c>
      <c r="L10" s="158">
        <v>3</v>
      </c>
      <c r="M10" s="99">
        <f t="shared" si="0"/>
        <v>164</v>
      </c>
      <c r="N10" s="160">
        <f>Tabla3[[#This Row],[NUMBER OF DAYS]]*Tabla3[[#This Row],[MAX. UNIT COST PER DAY]]</f>
        <v>492</v>
      </c>
      <c r="O10" s="168"/>
      <c r="P10" s="168"/>
      <c r="Q10" s="168"/>
      <c r="R10" s="168"/>
      <c r="S10" s="168"/>
      <c r="T10" s="168"/>
      <c r="U10" s="168"/>
      <c r="V10" s="168"/>
      <c r="W10" s="168"/>
      <c r="X10" s="168"/>
      <c r="Y10" s="168"/>
      <c r="Z10" s="168"/>
      <c r="AA10" s="168"/>
      <c r="AB10" s="168"/>
      <c r="AC10" s="168"/>
      <c r="AD10" s="168"/>
      <c r="AE10" s="168"/>
      <c r="AF10" s="168"/>
      <c r="AG10" s="168"/>
      <c r="AH10" s="168"/>
    </row>
    <row r="11" spans="1:34" x14ac:dyDescent="0.25">
      <c r="A11" s="157" t="s">
        <v>23</v>
      </c>
      <c r="B11" s="45" t="s">
        <v>51</v>
      </c>
      <c r="C11" s="45" t="s">
        <v>94</v>
      </c>
      <c r="D11" s="75" t="s">
        <v>63</v>
      </c>
      <c r="E11" s="159" t="s">
        <v>397</v>
      </c>
      <c r="F11" s="158" t="s">
        <v>404</v>
      </c>
      <c r="G11" s="158" t="s">
        <v>48</v>
      </c>
      <c r="H11" s="45" t="s">
        <v>211</v>
      </c>
      <c r="I11" s="158" t="s">
        <v>414</v>
      </c>
      <c r="J11" s="78">
        <v>43845</v>
      </c>
      <c r="K11" s="78">
        <v>44026</v>
      </c>
      <c r="L11" s="158">
        <v>4</v>
      </c>
      <c r="M11" s="99">
        <f t="shared" si="0"/>
        <v>137</v>
      </c>
      <c r="N11" s="160">
        <f>Tabla3[[#This Row],[NUMBER OF DAYS]]*Tabla3[[#This Row],[MAX. UNIT COST PER DAY]]</f>
        <v>548</v>
      </c>
      <c r="O11" s="168"/>
      <c r="P11" s="168"/>
      <c r="Q11" s="168"/>
      <c r="R11" s="168"/>
      <c r="S11" s="168"/>
      <c r="T11" s="168"/>
      <c r="U11" s="168"/>
      <c r="V11" s="168"/>
      <c r="W11" s="168"/>
      <c r="X11" s="168"/>
      <c r="Y11" s="168"/>
      <c r="Z11" s="168"/>
      <c r="AA11" s="168"/>
      <c r="AB11" s="168"/>
      <c r="AC11" s="168"/>
      <c r="AD11" s="168"/>
      <c r="AE11" s="168"/>
      <c r="AF11" s="168"/>
      <c r="AG11" s="168"/>
      <c r="AH11" s="168"/>
    </row>
    <row r="12" spans="1:34" x14ac:dyDescent="0.25">
      <c r="A12" s="157" t="s">
        <v>24</v>
      </c>
      <c r="B12" s="45" t="s">
        <v>51</v>
      </c>
      <c r="C12" s="45" t="s">
        <v>94</v>
      </c>
      <c r="D12" s="75" t="s">
        <v>63</v>
      </c>
      <c r="E12" s="159" t="s">
        <v>397</v>
      </c>
      <c r="F12" s="158" t="s">
        <v>404</v>
      </c>
      <c r="G12" s="158" t="s">
        <v>48</v>
      </c>
      <c r="H12" s="45" t="s">
        <v>225</v>
      </c>
      <c r="I12" s="158" t="s">
        <v>415</v>
      </c>
      <c r="J12" s="78">
        <v>43845</v>
      </c>
      <c r="K12" s="78">
        <v>44026</v>
      </c>
      <c r="L12" s="158">
        <v>2</v>
      </c>
      <c r="M12" s="99">
        <f t="shared" si="0"/>
        <v>137</v>
      </c>
      <c r="N12" s="160">
        <f>Tabla3[[#This Row],[NUMBER OF DAYS]]*Tabla3[[#This Row],[MAX. UNIT COST PER DAY]]</f>
        <v>274</v>
      </c>
      <c r="O12" s="168"/>
      <c r="P12" s="168"/>
      <c r="Q12" s="168"/>
      <c r="R12" s="168"/>
      <c r="S12" s="168"/>
      <c r="T12" s="168"/>
      <c r="U12" s="168"/>
      <c r="V12" s="168"/>
      <c r="W12" s="168"/>
      <c r="X12" s="168"/>
      <c r="Y12" s="168"/>
      <c r="Z12" s="168"/>
      <c r="AA12" s="168"/>
      <c r="AB12" s="168"/>
      <c r="AC12" s="168"/>
      <c r="AD12" s="168"/>
      <c r="AE12" s="168"/>
      <c r="AF12" s="168"/>
      <c r="AG12" s="168"/>
      <c r="AH12" s="168"/>
    </row>
    <row r="13" spans="1:34" x14ac:dyDescent="0.25">
      <c r="A13" s="157" t="s">
        <v>23</v>
      </c>
      <c r="B13" s="45" t="s">
        <v>51</v>
      </c>
      <c r="C13" s="45" t="s">
        <v>94</v>
      </c>
      <c r="D13" s="75" t="s">
        <v>63</v>
      </c>
      <c r="E13" s="159" t="s">
        <v>398</v>
      </c>
      <c r="F13" s="158" t="s">
        <v>403</v>
      </c>
      <c r="G13" s="158" t="s">
        <v>226</v>
      </c>
      <c r="H13" s="45" t="s">
        <v>211</v>
      </c>
      <c r="I13" s="158" t="s">
        <v>416</v>
      </c>
      <c r="J13" s="78">
        <v>43845</v>
      </c>
      <c r="K13" s="78">
        <v>44026</v>
      </c>
      <c r="L13" s="158">
        <v>10</v>
      </c>
      <c r="M13" s="99">
        <f t="shared" si="0"/>
        <v>102</v>
      </c>
      <c r="N13" s="160">
        <f>Tabla3[[#This Row],[NUMBER OF DAYS]]*Tabla3[[#This Row],[MAX. UNIT COST PER DAY]]</f>
        <v>1020</v>
      </c>
      <c r="O13" s="168"/>
      <c r="P13" s="168"/>
      <c r="Q13" s="168"/>
      <c r="R13" s="168"/>
      <c r="S13" s="168"/>
      <c r="T13" s="168"/>
      <c r="U13" s="168"/>
      <c r="V13" s="168"/>
      <c r="W13" s="168"/>
      <c r="X13" s="168"/>
      <c r="Y13" s="168"/>
      <c r="Z13" s="168"/>
      <c r="AA13" s="168"/>
      <c r="AB13" s="168"/>
      <c r="AC13" s="168"/>
      <c r="AD13" s="168"/>
      <c r="AE13" s="168"/>
      <c r="AF13" s="168"/>
      <c r="AG13" s="168"/>
      <c r="AH13" s="168"/>
    </row>
    <row r="14" spans="1:34" x14ac:dyDescent="0.25">
      <c r="A14" s="45" t="s">
        <v>74</v>
      </c>
      <c r="B14" s="45" t="s">
        <v>51</v>
      </c>
      <c r="C14" s="45" t="s">
        <v>94</v>
      </c>
      <c r="D14" s="75" t="s">
        <v>63</v>
      </c>
      <c r="E14" s="159" t="s">
        <v>399</v>
      </c>
      <c r="F14" s="158" t="s">
        <v>403</v>
      </c>
      <c r="G14" s="158" t="s">
        <v>229</v>
      </c>
      <c r="H14" s="45" t="s">
        <v>210</v>
      </c>
      <c r="I14" s="158" t="s">
        <v>417</v>
      </c>
      <c r="J14" s="78">
        <v>44027</v>
      </c>
      <c r="K14" s="78">
        <v>44210</v>
      </c>
      <c r="L14" s="158">
        <v>12</v>
      </c>
      <c r="M14" s="99">
        <f t="shared" si="0"/>
        <v>78</v>
      </c>
      <c r="N14" s="160">
        <f>Tabla3[[#This Row],[NUMBER OF DAYS]]*Tabla3[[#This Row],[MAX. UNIT COST PER DAY]]</f>
        <v>936</v>
      </c>
      <c r="O14" s="168"/>
      <c r="P14" s="168"/>
      <c r="Q14" s="168"/>
      <c r="R14" s="168"/>
      <c r="S14" s="168"/>
      <c r="T14" s="168"/>
      <c r="U14" s="168"/>
      <c r="V14" s="168"/>
      <c r="W14" s="168"/>
      <c r="X14" s="168"/>
      <c r="Y14" s="168"/>
      <c r="Z14" s="168"/>
      <c r="AA14" s="168"/>
      <c r="AB14" s="168"/>
      <c r="AC14" s="168"/>
      <c r="AD14" s="168"/>
      <c r="AE14" s="168"/>
      <c r="AF14" s="168"/>
      <c r="AG14" s="168"/>
      <c r="AH14" s="168"/>
    </row>
    <row r="15" spans="1:34" x14ac:dyDescent="0.25">
      <c r="A15" s="157" t="s">
        <v>72</v>
      </c>
      <c r="B15" s="45" t="s">
        <v>51</v>
      </c>
      <c r="C15" s="45" t="s">
        <v>94</v>
      </c>
      <c r="D15" s="75" t="s">
        <v>63</v>
      </c>
      <c r="E15" s="159" t="s">
        <v>399</v>
      </c>
      <c r="F15" s="158" t="s">
        <v>403</v>
      </c>
      <c r="G15" s="158" t="s">
        <v>229</v>
      </c>
      <c r="H15" s="45" t="s">
        <v>212</v>
      </c>
      <c r="I15" s="158" t="s">
        <v>418</v>
      </c>
      <c r="J15" s="78">
        <v>44027</v>
      </c>
      <c r="K15" s="78">
        <v>44210</v>
      </c>
      <c r="L15" s="158">
        <v>14</v>
      </c>
      <c r="M15" s="99">
        <f t="shared" si="0"/>
        <v>78</v>
      </c>
      <c r="N15" s="160">
        <f>Tabla3[[#This Row],[NUMBER OF DAYS]]*Tabla3[[#This Row],[MAX. UNIT COST PER DAY]]</f>
        <v>1092</v>
      </c>
      <c r="O15" s="168"/>
      <c r="P15" s="168"/>
      <c r="Q15" s="168"/>
      <c r="R15" s="168"/>
      <c r="S15" s="168"/>
      <c r="T15" s="168"/>
      <c r="U15" s="168"/>
      <c r="V15" s="168"/>
      <c r="W15" s="168"/>
      <c r="X15" s="168"/>
      <c r="Y15" s="168"/>
      <c r="Z15" s="168"/>
      <c r="AA15" s="168"/>
      <c r="AB15" s="168"/>
      <c r="AC15" s="168"/>
      <c r="AD15" s="168"/>
      <c r="AE15" s="168"/>
      <c r="AF15" s="168"/>
      <c r="AG15" s="168"/>
      <c r="AH15" s="168"/>
    </row>
    <row r="16" spans="1:34" x14ac:dyDescent="0.25">
      <c r="A16" s="157" t="s">
        <v>73</v>
      </c>
      <c r="B16" s="45" t="s">
        <v>51</v>
      </c>
      <c r="C16" s="45" t="s">
        <v>94</v>
      </c>
      <c r="D16" s="75" t="s">
        <v>63</v>
      </c>
      <c r="E16" s="159" t="s">
        <v>399</v>
      </c>
      <c r="F16" s="158" t="s">
        <v>403</v>
      </c>
      <c r="G16" s="158" t="s">
        <v>229</v>
      </c>
      <c r="H16" s="45" t="s">
        <v>213</v>
      </c>
      <c r="I16" s="158" t="s">
        <v>419</v>
      </c>
      <c r="J16" s="78">
        <v>44027</v>
      </c>
      <c r="K16" s="78">
        <v>44210</v>
      </c>
      <c r="L16" s="158">
        <v>2</v>
      </c>
      <c r="M16" s="99">
        <f t="shared" si="0"/>
        <v>78</v>
      </c>
      <c r="N16" s="160">
        <f>Tabla3[[#This Row],[NUMBER OF DAYS]]*Tabla3[[#This Row],[MAX. UNIT COST PER DAY]]</f>
        <v>156</v>
      </c>
      <c r="O16" s="168"/>
      <c r="P16" s="168"/>
      <c r="Q16" s="168"/>
      <c r="R16" s="168"/>
      <c r="S16" s="168"/>
      <c r="T16" s="168"/>
      <c r="U16" s="168"/>
      <c r="V16" s="168"/>
      <c r="W16" s="168"/>
      <c r="X16" s="168"/>
      <c r="Y16" s="168"/>
      <c r="Z16" s="168"/>
      <c r="AA16" s="168"/>
      <c r="AB16" s="168"/>
      <c r="AC16" s="168"/>
      <c r="AD16" s="168"/>
      <c r="AE16" s="168"/>
      <c r="AF16" s="168"/>
      <c r="AG16" s="168"/>
      <c r="AH16" s="168"/>
    </row>
    <row r="17" spans="1:34" x14ac:dyDescent="0.25">
      <c r="A17" s="157" t="s">
        <v>23</v>
      </c>
      <c r="B17" s="45" t="s">
        <v>51</v>
      </c>
      <c r="C17" s="45" t="s">
        <v>94</v>
      </c>
      <c r="D17" s="75" t="s">
        <v>63</v>
      </c>
      <c r="E17" s="159" t="s">
        <v>400</v>
      </c>
      <c r="F17" s="158" t="s">
        <v>404</v>
      </c>
      <c r="G17" s="158" t="s">
        <v>48</v>
      </c>
      <c r="H17" s="45" t="s">
        <v>211</v>
      </c>
      <c r="I17" s="158" t="s">
        <v>414</v>
      </c>
      <c r="J17" s="78">
        <v>44027</v>
      </c>
      <c r="K17" s="78">
        <v>44210</v>
      </c>
      <c r="L17" s="158">
        <v>11</v>
      </c>
      <c r="M17" s="99">
        <f t="shared" si="0"/>
        <v>137</v>
      </c>
      <c r="N17" s="160">
        <f>Tabla3[[#This Row],[NUMBER OF DAYS]]*Tabla3[[#This Row],[MAX. UNIT COST PER DAY]]</f>
        <v>1507</v>
      </c>
      <c r="O17" s="168"/>
      <c r="P17" s="168"/>
      <c r="Q17" s="168"/>
      <c r="R17" s="168"/>
      <c r="S17" s="168"/>
      <c r="T17" s="168"/>
      <c r="U17" s="168"/>
      <c r="V17" s="168"/>
      <c r="W17" s="168"/>
      <c r="X17" s="168"/>
      <c r="Y17" s="168"/>
      <c r="Z17" s="168"/>
      <c r="AA17" s="168"/>
      <c r="AB17" s="168"/>
      <c r="AC17" s="168"/>
      <c r="AD17" s="168"/>
      <c r="AE17" s="168"/>
      <c r="AF17" s="168"/>
      <c r="AG17" s="168"/>
      <c r="AH17" s="168"/>
    </row>
    <row r="18" spans="1:34" x14ac:dyDescent="0.25">
      <c r="A18" s="157" t="s">
        <v>24</v>
      </c>
      <c r="B18" s="45" t="s">
        <v>51</v>
      </c>
      <c r="C18" s="45" t="s">
        <v>94</v>
      </c>
      <c r="D18" s="75" t="s">
        <v>63</v>
      </c>
      <c r="E18" s="159" t="s">
        <v>400</v>
      </c>
      <c r="F18" s="158" t="s">
        <v>404</v>
      </c>
      <c r="G18" s="158" t="s">
        <v>48</v>
      </c>
      <c r="H18" s="45" t="s">
        <v>225</v>
      </c>
      <c r="I18" s="158" t="s">
        <v>420</v>
      </c>
      <c r="J18" s="78">
        <v>44027</v>
      </c>
      <c r="K18" s="78">
        <v>44210</v>
      </c>
      <c r="L18" s="158">
        <v>13</v>
      </c>
      <c r="M18" s="99">
        <f t="shared" si="0"/>
        <v>137</v>
      </c>
      <c r="N18" s="160">
        <f>Tabla3[[#This Row],[NUMBER OF DAYS]]*Tabla3[[#This Row],[MAX. UNIT COST PER DAY]]</f>
        <v>1781</v>
      </c>
      <c r="O18" s="168"/>
      <c r="P18" s="168"/>
      <c r="Q18" s="168"/>
      <c r="R18" s="168"/>
      <c r="S18" s="168"/>
      <c r="T18" s="168"/>
      <c r="U18" s="168"/>
      <c r="V18" s="168"/>
      <c r="W18" s="168"/>
      <c r="X18" s="168"/>
      <c r="Y18" s="168"/>
      <c r="Z18" s="168"/>
      <c r="AA18" s="168"/>
      <c r="AB18" s="168"/>
      <c r="AC18" s="168"/>
      <c r="AD18" s="168"/>
      <c r="AE18" s="168"/>
      <c r="AF18" s="168"/>
      <c r="AG18" s="168"/>
      <c r="AH18" s="168"/>
    </row>
    <row r="19" spans="1:34" x14ac:dyDescent="0.25">
      <c r="A19" s="45" t="s">
        <v>74</v>
      </c>
      <c r="B19" s="45" t="s">
        <v>51</v>
      </c>
      <c r="C19" s="45" t="s">
        <v>94</v>
      </c>
      <c r="D19" s="75" t="s">
        <v>63</v>
      </c>
      <c r="E19" s="159" t="s">
        <v>401</v>
      </c>
      <c r="F19" s="158" t="s">
        <v>403</v>
      </c>
      <c r="G19" s="158" t="s">
        <v>47</v>
      </c>
      <c r="H19" s="45" t="s">
        <v>210</v>
      </c>
      <c r="I19" s="158" t="s">
        <v>421</v>
      </c>
      <c r="J19" s="78">
        <v>44027</v>
      </c>
      <c r="K19" s="78">
        <v>44210</v>
      </c>
      <c r="L19" s="158">
        <v>15</v>
      </c>
      <c r="M19" s="99">
        <f t="shared" si="0"/>
        <v>164</v>
      </c>
      <c r="N19" s="160">
        <f>Tabla3[[#This Row],[NUMBER OF DAYS]]*Tabla3[[#This Row],[MAX. UNIT COST PER DAY]]</f>
        <v>2460</v>
      </c>
      <c r="O19" s="168"/>
      <c r="P19" s="168"/>
      <c r="Q19" s="168"/>
      <c r="R19" s="168"/>
      <c r="S19" s="168"/>
      <c r="T19" s="168"/>
      <c r="U19" s="168"/>
      <c r="V19" s="168"/>
      <c r="W19" s="168"/>
      <c r="X19" s="168"/>
      <c r="Y19" s="168"/>
      <c r="Z19" s="168"/>
      <c r="AA19" s="168"/>
      <c r="AB19" s="168"/>
      <c r="AC19" s="168"/>
      <c r="AD19" s="168"/>
      <c r="AE19" s="168"/>
      <c r="AF19" s="168"/>
      <c r="AG19" s="168"/>
      <c r="AH19" s="168"/>
    </row>
    <row r="20" spans="1:34" x14ac:dyDescent="0.25">
      <c r="A20" s="157" t="s">
        <v>23</v>
      </c>
      <c r="B20" s="45" t="s">
        <v>51</v>
      </c>
      <c r="C20" s="45" t="s">
        <v>94</v>
      </c>
      <c r="D20" s="75" t="s">
        <v>63</v>
      </c>
      <c r="E20" s="159" t="s">
        <v>401</v>
      </c>
      <c r="F20" s="158" t="s">
        <v>403</v>
      </c>
      <c r="G20" s="158" t="s">
        <v>47</v>
      </c>
      <c r="H20" s="45" t="s">
        <v>211</v>
      </c>
      <c r="I20" s="158" t="s">
        <v>422</v>
      </c>
      <c r="J20" s="78">
        <v>44027</v>
      </c>
      <c r="K20" s="78">
        <v>44210</v>
      </c>
      <c r="L20" s="158">
        <v>5</v>
      </c>
      <c r="M20" s="99">
        <f t="shared" si="0"/>
        <v>164</v>
      </c>
      <c r="N20" s="160">
        <f>Tabla3[[#This Row],[NUMBER OF DAYS]]*Tabla3[[#This Row],[MAX. UNIT COST PER DAY]]</f>
        <v>820</v>
      </c>
      <c r="O20" s="168"/>
      <c r="P20" s="168"/>
      <c r="Q20" s="168"/>
      <c r="R20" s="168"/>
      <c r="S20" s="168"/>
      <c r="T20" s="168"/>
      <c r="U20" s="168"/>
      <c r="V20" s="168"/>
      <c r="W20" s="168"/>
      <c r="X20" s="168"/>
      <c r="Y20" s="168"/>
      <c r="Z20" s="168"/>
      <c r="AA20" s="168"/>
      <c r="AB20" s="168"/>
      <c r="AC20" s="168"/>
      <c r="AD20" s="168"/>
      <c r="AE20" s="168"/>
      <c r="AF20" s="168"/>
      <c r="AG20" s="168"/>
      <c r="AH20" s="168"/>
    </row>
    <row r="21" spans="1:34" x14ac:dyDescent="0.25">
      <c r="A21" s="157" t="s">
        <v>24</v>
      </c>
      <c r="B21" s="45" t="s">
        <v>51</v>
      </c>
      <c r="C21" s="45" t="s">
        <v>94</v>
      </c>
      <c r="D21" s="75" t="s">
        <v>63</v>
      </c>
      <c r="E21" s="159" t="s">
        <v>401</v>
      </c>
      <c r="F21" s="158" t="s">
        <v>403</v>
      </c>
      <c r="G21" s="158" t="s">
        <v>47</v>
      </c>
      <c r="H21" s="45" t="s">
        <v>225</v>
      </c>
      <c r="I21" s="158" t="s">
        <v>412</v>
      </c>
      <c r="J21" s="78">
        <v>44027</v>
      </c>
      <c r="K21" s="78">
        <v>44210</v>
      </c>
      <c r="L21" s="158">
        <v>2</v>
      </c>
      <c r="M21" s="99">
        <f t="shared" si="0"/>
        <v>164</v>
      </c>
      <c r="N21" s="160">
        <f>Tabla3[[#This Row],[NUMBER OF DAYS]]*Tabla3[[#This Row],[MAX. UNIT COST PER DAY]]</f>
        <v>328</v>
      </c>
      <c r="O21" s="168"/>
      <c r="P21" s="168"/>
      <c r="Q21" s="168"/>
      <c r="R21" s="168"/>
      <c r="S21" s="168"/>
      <c r="T21" s="168"/>
      <c r="U21" s="168"/>
      <c r="V21" s="168"/>
      <c r="W21" s="168"/>
      <c r="X21" s="168"/>
      <c r="Y21" s="168"/>
      <c r="Z21" s="168"/>
      <c r="AA21" s="168"/>
      <c r="AB21" s="168"/>
      <c r="AC21" s="168"/>
      <c r="AD21" s="168"/>
      <c r="AE21" s="168"/>
      <c r="AF21" s="168"/>
      <c r="AG21" s="168"/>
      <c r="AH21" s="168"/>
    </row>
    <row r="22" spans="1:34" x14ac:dyDescent="0.25">
      <c r="A22" s="157" t="s">
        <v>72</v>
      </c>
      <c r="B22" s="45" t="s">
        <v>51</v>
      </c>
      <c r="C22" s="45" t="s">
        <v>94</v>
      </c>
      <c r="D22" s="75" t="s">
        <v>63</v>
      </c>
      <c r="E22" s="159" t="s">
        <v>401</v>
      </c>
      <c r="F22" s="158" t="s">
        <v>403</v>
      </c>
      <c r="G22" s="158" t="s">
        <v>47</v>
      </c>
      <c r="H22" s="45" t="s">
        <v>212</v>
      </c>
      <c r="I22" s="158" t="s">
        <v>423</v>
      </c>
      <c r="J22" s="78">
        <v>44027</v>
      </c>
      <c r="K22" s="78">
        <v>44210</v>
      </c>
      <c r="L22" s="158">
        <v>18</v>
      </c>
      <c r="M22" s="99">
        <f t="shared" si="0"/>
        <v>164</v>
      </c>
      <c r="N22" s="160">
        <f>Tabla3[[#This Row],[NUMBER OF DAYS]]*Tabla3[[#This Row],[MAX. UNIT COST PER DAY]]</f>
        <v>2952</v>
      </c>
      <c r="O22" s="168"/>
      <c r="P22" s="168"/>
      <c r="Q22" s="168"/>
      <c r="R22" s="168"/>
      <c r="S22" s="168"/>
      <c r="T22" s="168"/>
      <c r="U22" s="168"/>
      <c r="V22" s="168"/>
      <c r="W22" s="168"/>
      <c r="X22" s="168"/>
      <c r="Y22" s="168"/>
      <c r="Z22" s="168"/>
      <c r="AA22" s="168"/>
      <c r="AB22" s="168"/>
      <c r="AC22" s="168"/>
      <c r="AD22" s="168"/>
      <c r="AE22" s="168"/>
      <c r="AF22" s="168"/>
      <c r="AG22" s="168"/>
      <c r="AH22" s="168"/>
    </row>
    <row r="23" spans="1:34" x14ac:dyDescent="0.25">
      <c r="A23" s="201" t="s">
        <v>74</v>
      </c>
      <c r="B23" s="45" t="s">
        <v>51</v>
      </c>
      <c r="C23" s="45" t="s">
        <v>94</v>
      </c>
      <c r="D23" s="75" t="s">
        <v>63</v>
      </c>
      <c r="E23" s="203" t="s">
        <v>593</v>
      </c>
      <c r="F23" s="158" t="s">
        <v>403</v>
      </c>
      <c r="G23" s="158" t="s">
        <v>47</v>
      </c>
      <c r="H23" s="45" t="s">
        <v>210</v>
      </c>
      <c r="I23" s="202" t="s">
        <v>596</v>
      </c>
      <c r="J23" s="196">
        <v>44211</v>
      </c>
      <c r="K23" s="196">
        <v>44391</v>
      </c>
      <c r="L23" s="202">
        <v>16</v>
      </c>
      <c r="M23" s="99">
        <f t="shared" si="0"/>
        <v>164</v>
      </c>
      <c r="N23" s="204">
        <f>Tabla3[[#This Row],[NUMBER OF DAYS]]*Tabla3[[#This Row],[MAX. UNIT COST PER DAY]]</f>
        <v>2624</v>
      </c>
      <c r="O23" s="188"/>
      <c r="P23" s="188"/>
      <c r="Q23" s="188"/>
      <c r="R23" s="188"/>
      <c r="S23" s="188"/>
      <c r="T23" s="188"/>
      <c r="U23" s="188"/>
      <c r="V23" s="188"/>
      <c r="W23" s="188"/>
      <c r="X23" s="188"/>
      <c r="Y23" s="188"/>
      <c r="Z23" s="188"/>
      <c r="AA23" s="188"/>
      <c r="AB23" s="188"/>
      <c r="AC23" s="188"/>
      <c r="AD23" s="188"/>
      <c r="AE23" s="188"/>
      <c r="AF23" s="188"/>
      <c r="AG23" s="188"/>
      <c r="AH23" s="188"/>
    </row>
    <row r="24" spans="1:34" x14ac:dyDescent="0.25">
      <c r="A24" s="201" t="s">
        <v>72</v>
      </c>
      <c r="B24" s="45" t="s">
        <v>51</v>
      </c>
      <c r="C24" s="45" t="s">
        <v>94</v>
      </c>
      <c r="D24" s="75" t="s">
        <v>63</v>
      </c>
      <c r="E24" s="203" t="s">
        <v>593</v>
      </c>
      <c r="F24" s="158" t="s">
        <v>403</v>
      </c>
      <c r="G24" s="158" t="s">
        <v>47</v>
      </c>
      <c r="H24" s="45" t="s">
        <v>212</v>
      </c>
      <c r="I24" s="202" t="s">
        <v>599</v>
      </c>
      <c r="J24" s="196">
        <v>44211</v>
      </c>
      <c r="K24" s="196">
        <v>44391</v>
      </c>
      <c r="L24" s="202">
        <v>8</v>
      </c>
      <c r="M24" s="99">
        <f t="shared" si="0"/>
        <v>164</v>
      </c>
      <c r="N24" s="204">
        <f>Tabla3[[#This Row],[NUMBER OF DAYS]]*Tabla3[[#This Row],[MAX. UNIT COST PER DAY]]</f>
        <v>1312</v>
      </c>
      <c r="O24" s="188"/>
      <c r="P24" s="188"/>
      <c r="Q24" s="188"/>
      <c r="R24" s="188"/>
      <c r="S24" s="188"/>
      <c r="T24" s="188"/>
      <c r="U24" s="188"/>
      <c r="V24" s="188"/>
      <c r="W24" s="188"/>
      <c r="X24" s="188"/>
      <c r="Y24" s="188"/>
      <c r="Z24" s="188"/>
      <c r="AA24" s="188"/>
      <c r="AB24" s="188"/>
      <c r="AC24" s="188"/>
      <c r="AD24" s="188"/>
      <c r="AE24" s="188"/>
      <c r="AF24" s="188"/>
      <c r="AG24" s="188"/>
      <c r="AH24" s="188"/>
    </row>
    <row r="25" spans="1:34" x14ac:dyDescent="0.25">
      <c r="A25" s="201" t="s">
        <v>74</v>
      </c>
      <c r="B25" s="45" t="s">
        <v>51</v>
      </c>
      <c r="C25" s="45" t="s">
        <v>94</v>
      </c>
      <c r="D25" s="75" t="s">
        <v>63</v>
      </c>
      <c r="E25" s="203" t="s">
        <v>594</v>
      </c>
      <c r="F25" s="158" t="s">
        <v>403</v>
      </c>
      <c r="G25" s="158" t="s">
        <v>229</v>
      </c>
      <c r="H25" s="45" t="s">
        <v>210</v>
      </c>
      <c r="I25" s="202" t="s">
        <v>597</v>
      </c>
      <c r="J25" s="196">
        <v>44211</v>
      </c>
      <c r="K25" s="196">
        <v>44391</v>
      </c>
      <c r="L25" s="202">
        <v>6</v>
      </c>
      <c r="M25" s="99">
        <f t="shared" si="0"/>
        <v>78</v>
      </c>
      <c r="N25" s="204">
        <f>Tabla3[[#This Row],[NUMBER OF DAYS]]*Tabla3[[#This Row],[MAX. UNIT COST PER DAY]]</f>
        <v>468</v>
      </c>
      <c r="O25" s="188"/>
      <c r="P25" s="188"/>
      <c r="Q25" s="188"/>
      <c r="R25" s="188"/>
      <c r="S25" s="188"/>
      <c r="T25" s="188"/>
      <c r="U25" s="188"/>
      <c r="V25" s="188"/>
      <c r="W25" s="188"/>
      <c r="X25" s="188"/>
      <c r="Y25" s="188"/>
      <c r="Z25" s="188"/>
      <c r="AA25" s="188"/>
      <c r="AB25" s="188"/>
      <c r="AC25" s="188"/>
      <c r="AD25" s="188"/>
      <c r="AE25" s="188"/>
      <c r="AF25" s="188"/>
      <c r="AG25" s="188"/>
      <c r="AH25" s="188"/>
    </row>
    <row r="26" spans="1:34" x14ac:dyDescent="0.25">
      <c r="A26" s="201" t="s">
        <v>72</v>
      </c>
      <c r="B26" s="45" t="s">
        <v>51</v>
      </c>
      <c r="C26" s="45" t="s">
        <v>94</v>
      </c>
      <c r="D26" s="75" t="s">
        <v>63</v>
      </c>
      <c r="E26" s="203" t="s">
        <v>594</v>
      </c>
      <c r="F26" s="158" t="s">
        <v>403</v>
      </c>
      <c r="G26" s="158" t="s">
        <v>229</v>
      </c>
      <c r="H26" s="45" t="s">
        <v>212</v>
      </c>
      <c r="I26" s="202" t="s">
        <v>600</v>
      </c>
      <c r="J26" s="196">
        <v>44211</v>
      </c>
      <c r="K26" s="196">
        <v>44391</v>
      </c>
      <c r="L26" s="202">
        <v>2</v>
      </c>
      <c r="M26" s="99">
        <f t="shared" si="0"/>
        <v>78</v>
      </c>
      <c r="N26" s="204">
        <f>Tabla3[[#This Row],[NUMBER OF DAYS]]*Tabla3[[#This Row],[MAX. UNIT COST PER DAY]]</f>
        <v>156</v>
      </c>
      <c r="O26" s="188"/>
      <c r="P26" s="188"/>
      <c r="Q26" s="188"/>
      <c r="R26" s="188"/>
      <c r="S26" s="188"/>
      <c r="T26" s="188"/>
      <c r="U26" s="188"/>
      <c r="V26" s="188"/>
      <c r="W26" s="188"/>
      <c r="X26" s="188"/>
      <c r="Y26" s="188"/>
      <c r="Z26" s="188"/>
      <c r="AA26" s="188"/>
      <c r="AB26" s="188"/>
      <c r="AC26" s="188"/>
      <c r="AD26" s="188"/>
      <c r="AE26" s="188"/>
      <c r="AF26" s="188"/>
      <c r="AG26" s="188"/>
      <c r="AH26" s="188"/>
    </row>
    <row r="27" spans="1:34" x14ac:dyDescent="0.25">
      <c r="A27" s="201" t="s">
        <v>73</v>
      </c>
      <c r="B27" s="45" t="s">
        <v>51</v>
      </c>
      <c r="C27" s="45" t="s">
        <v>94</v>
      </c>
      <c r="D27" s="75" t="s">
        <v>63</v>
      </c>
      <c r="E27" s="203" t="s">
        <v>594</v>
      </c>
      <c r="F27" s="158" t="s">
        <v>403</v>
      </c>
      <c r="G27" s="158" t="s">
        <v>229</v>
      </c>
      <c r="H27" s="45" t="s">
        <v>213</v>
      </c>
      <c r="I27" s="202" t="s">
        <v>598</v>
      </c>
      <c r="J27" s="196">
        <v>44211</v>
      </c>
      <c r="K27" s="196">
        <v>44391</v>
      </c>
      <c r="L27" s="202">
        <v>3</v>
      </c>
      <c r="M27" s="99">
        <f t="shared" si="0"/>
        <v>78</v>
      </c>
      <c r="N27" s="204">
        <f>Tabla3[[#This Row],[NUMBER OF DAYS]]*Tabla3[[#This Row],[MAX. UNIT COST PER DAY]]</f>
        <v>234</v>
      </c>
      <c r="O27" s="188"/>
      <c r="P27" s="188"/>
      <c r="Q27" s="188"/>
      <c r="R27" s="188"/>
      <c r="S27" s="188"/>
      <c r="T27" s="188"/>
      <c r="U27" s="188"/>
      <c r="V27" s="188"/>
      <c r="W27" s="188"/>
      <c r="X27" s="188"/>
      <c r="Y27" s="188"/>
      <c r="Z27" s="188"/>
      <c r="AA27" s="188"/>
      <c r="AB27" s="188"/>
      <c r="AC27" s="188"/>
      <c r="AD27" s="188"/>
      <c r="AE27" s="188"/>
      <c r="AF27" s="188"/>
      <c r="AG27" s="188"/>
      <c r="AH27" s="188"/>
    </row>
    <row r="28" spans="1:34" x14ac:dyDescent="0.25">
      <c r="A28" s="94" t="s">
        <v>24</v>
      </c>
      <c r="B28" s="45" t="s">
        <v>51</v>
      </c>
      <c r="C28" s="45" t="s">
        <v>94</v>
      </c>
      <c r="D28" s="75" t="s">
        <v>63</v>
      </c>
      <c r="E28" s="203" t="s">
        <v>595</v>
      </c>
      <c r="F28" s="158" t="s">
        <v>404</v>
      </c>
      <c r="G28" s="158" t="s">
        <v>48</v>
      </c>
      <c r="H28" s="45" t="s">
        <v>225</v>
      </c>
      <c r="I28" s="45" t="s">
        <v>609</v>
      </c>
      <c r="J28" s="196">
        <v>44211</v>
      </c>
      <c r="K28" s="196">
        <v>44391</v>
      </c>
      <c r="L28" s="45">
        <v>51</v>
      </c>
      <c r="M28" s="99">
        <f t="shared" si="0"/>
        <v>137</v>
      </c>
      <c r="N28" s="204">
        <f>Tabla3[[#This Row],[NUMBER OF DAYS]]*Tabla3[[#This Row],[MAX. UNIT COST PER DAY]]</f>
        <v>6987</v>
      </c>
      <c r="O28" s="188"/>
      <c r="P28" s="188"/>
      <c r="Q28" s="188"/>
      <c r="R28" s="188"/>
      <c r="S28" s="188"/>
      <c r="T28" s="188"/>
      <c r="U28" s="188"/>
      <c r="V28" s="188"/>
      <c r="W28" s="188"/>
      <c r="X28" s="188"/>
      <c r="Y28" s="188"/>
      <c r="Z28" s="188"/>
      <c r="AA28" s="188"/>
      <c r="AB28" s="188"/>
      <c r="AC28" s="188"/>
      <c r="AD28" s="188"/>
      <c r="AE28" s="188"/>
      <c r="AF28" s="188"/>
      <c r="AG28" s="188"/>
      <c r="AH28" s="188"/>
    </row>
    <row r="29" spans="1:34" x14ac:dyDescent="0.25">
      <c r="A29" s="94" t="s">
        <v>24</v>
      </c>
      <c r="B29" s="45" t="s">
        <v>51</v>
      </c>
      <c r="C29" s="45" t="s">
        <v>94</v>
      </c>
      <c r="D29" s="75" t="s">
        <v>63</v>
      </c>
      <c r="E29" s="203" t="s">
        <v>773</v>
      </c>
      <c r="F29" s="45" t="s">
        <v>772</v>
      </c>
      <c r="G29" s="158" t="s">
        <v>48</v>
      </c>
      <c r="H29" s="45" t="s">
        <v>225</v>
      </c>
      <c r="I29" s="45" t="s">
        <v>770</v>
      </c>
      <c r="J29" s="196">
        <v>44211</v>
      </c>
      <c r="K29" s="196">
        <v>44391</v>
      </c>
      <c r="L29" s="208">
        <v>75</v>
      </c>
      <c r="M29" s="99">
        <f t="shared" ref="M29:M37" si="1">IF(AND(G29="Manager",D29="Spain"),164,IF(AND(G29="Teacher/Trainer/Researcher",D29="Spain"),137,IF(AND(G29="Technical Staff",D29="Spain"),102,IF(AND(G29="Administrative staff",D29="Spain"),78,IF(AND(G29="Manager",D29="Slovenia"),164,IF(AND(G29="Teacher/Trainer/Researcher",D29="Slovenia"),137,IF(AND(G29="Technical Staff",D29="Slovenia"),102,IF(AND(G29="Administrative staff",D29="Slovenia"),78,IF(AND(G29="Manager",D29="Italy"),280,IF(AND(G29="Teacher/Trainer/Researcher",D29="Italy"),214,IF(AND(G29="Technical Staff",D29="Italy"),162,IF(AND(G29="Administrative staff",D29="Italy"),131,IF(AND(G29="Manager",D29="Kazakhstan"),77,IF(AND(G29="Teacher/Trainer/Researcher",D29="Kazakhstan"),57,IF(AND(G29="Technical Staff",D29="Kazakhstan"),40,IF(AND(G29="Administrative staff",D29="Kazakhstan"),32,IF(AND(G29="Manager",D29="Turkmenistan"),47,IF(AND(G29="Teacher/Trainer/Researcher",D29="Turkmenistan"),33,IF(AND(G29="Technical Staff",D29="Turkmenistan"),22,IF(AND(G29="Administrative staff",D29="Turkmenistan"),17,IF(AND(G29="Manager",D29="Tajikistan"),47,IF(AND(G29="Teacher/Trainer/Researcher",D29="Tajikistan"),33,IF(AND(G29="Technical Staff",D29="Tajikistan"),22,IF(AND(G29="Administrative staff",D29="Tajikistan"),17,))))))))))))))))))))))))</f>
        <v>137</v>
      </c>
      <c r="N29" s="204">
        <f>Tabla3[[#This Row],[NUMBER OF DAYS]]*Tabla3[[#This Row],[MAX. UNIT COST PER DAY]]</f>
        <v>10275</v>
      </c>
      <c r="O29" s="188"/>
      <c r="P29" s="188"/>
      <c r="Q29" s="188"/>
      <c r="R29" s="188"/>
      <c r="S29" s="188"/>
      <c r="T29" s="188"/>
      <c r="U29" s="188"/>
      <c r="V29" s="188"/>
      <c r="W29" s="188"/>
      <c r="X29" s="188"/>
      <c r="Y29" s="188"/>
      <c r="Z29" s="188"/>
      <c r="AA29" s="188"/>
      <c r="AB29" s="188"/>
      <c r="AC29" s="188"/>
      <c r="AD29" s="188"/>
      <c r="AE29" s="188"/>
      <c r="AF29" s="188"/>
      <c r="AG29" s="188"/>
      <c r="AH29" s="188"/>
    </row>
    <row r="30" spans="1:34" x14ac:dyDescent="0.25">
      <c r="A30" s="94" t="s">
        <v>24</v>
      </c>
      <c r="B30" s="45" t="s">
        <v>51</v>
      </c>
      <c r="C30" s="45" t="s">
        <v>94</v>
      </c>
      <c r="D30" s="75" t="s">
        <v>63</v>
      </c>
      <c r="E30" s="203" t="s">
        <v>774</v>
      </c>
      <c r="F30" s="45" t="s">
        <v>772</v>
      </c>
      <c r="G30" s="158" t="s">
        <v>48</v>
      </c>
      <c r="H30" s="45" t="s">
        <v>225</v>
      </c>
      <c r="I30" s="45" t="s">
        <v>771</v>
      </c>
      <c r="J30" s="218">
        <v>44392</v>
      </c>
      <c r="K30" s="218">
        <v>44561</v>
      </c>
      <c r="L30" s="208">
        <v>31</v>
      </c>
      <c r="M30" s="99">
        <f t="shared" si="1"/>
        <v>137</v>
      </c>
      <c r="N30" s="204">
        <f>Tabla3[[#This Row],[NUMBER OF DAYS]]*Tabla3[[#This Row],[MAX. UNIT COST PER DAY]]</f>
        <v>4247</v>
      </c>
      <c r="O30" s="188"/>
      <c r="P30" s="188"/>
      <c r="Q30" s="188"/>
      <c r="R30" s="188"/>
      <c r="S30" s="188"/>
      <c r="T30" s="188"/>
      <c r="U30" s="188"/>
      <c r="V30" s="188"/>
      <c r="W30" s="188"/>
      <c r="X30" s="188"/>
      <c r="Y30" s="188"/>
      <c r="Z30" s="188"/>
      <c r="AA30" s="188"/>
      <c r="AB30" s="188"/>
      <c r="AC30" s="188"/>
      <c r="AD30" s="188"/>
      <c r="AE30" s="188"/>
      <c r="AF30" s="188"/>
      <c r="AG30" s="188"/>
      <c r="AH30" s="188"/>
    </row>
    <row r="31" spans="1:34" x14ac:dyDescent="0.25">
      <c r="A31" s="94" t="s">
        <v>24</v>
      </c>
      <c r="B31" s="45" t="s">
        <v>51</v>
      </c>
      <c r="C31" s="45" t="s">
        <v>94</v>
      </c>
      <c r="D31" s="75" t="s">
        <v>63</v>
      </c>
      <c r="E31" s="203" t="s">
        <v>776</v>
      </c>
      <c r="F31" s="158" t="s">
        <v>404</v>
      </c>
      <c r="G31" s="158" t="s">
        <v>48</v>
      </c>
      <c r="H31" s="45" t="s">
        <v>225</v>
      </c>
      <c r="I31" s="45" t="s">
        <v>775</v>
      </c>
      <c r="J31" s="218">
        <v>44392</v>
      </c>
      <c r="K31" s="218">
        <v>44561</v>
      </c>
      <c r="L31" s="208">
        <v>38</v>
      </c>
      <c r="M31" s="99">
        <f t="shared" si="1"/>
        <v>137</v>
      </c>
      <c r="N31" s="204">
        <f>Tabla3[[#This Row],[NUMBER OF DAYS]]*Tabla3[[#This Row],[MAX. UNIT COST PER DAY]]</f>
        <v>5206</v>
      </c>
      <c r="O31" s="188"/>
      <c r="P31" s="188"/>
      <c r="Q31" s="188"/>
      <c r="R31" s="188"/>
      <c r="S31" s="188"/>
      <c r="T31" s="188"/>
      <c r="U31" s="188"/>
      <c r="V31" s="188"/>
      <c r="W31" s="188"/>
      <c r="X31" s="188"/>
      <c r="Y31" s="188"/>
      <c r="Z31" s="188"/>
      <c r="AA31" s="188"/>
      <c r="AB31" s="188"/>
      <c r="AC31" s="188"/>
      <c r="AD31" s="188"/>
      <c r="AE31" s="188"/>
      <c r="AF31" s="188"/>
      <c r="AG31" s="188"/>
      <c r="AH31" s="188"/>
    </row>
    <row r="32" spans="1:34" x14ac:dyDescent="0.25">
      <c r="A32" s="207" t="s">
        <v>74</v>
      </c>
      <c r="B32" s="45" t="s">
        <v>51</v>
      </c>
      <c r="C32" s="45" t="s">
        <v>94</v>
      </c>
      <c r="D32" s="75" t="s">
        <v>63</v>
      </c>
      <c r="E32" s="203" t="s">
        <v>784</v>
      </c>
      <c r="F32" s="158" t="s">
        <v>403</v>
      </c>
      <c r="G32" s="208" t="s">
        <v>229</v>
      </c>
      <c r="H32" s="45" t="s">
        <v>210</v>
      </c>
      <c r="I32" s="208" t="s">
        <v>781</v>
      </c>
      <c r="J32" s="218">
        <v>44392</v>
      </c>
      <c r="K32" s="218">
        <v>44561</v>
      </c>
      <c r="L32" s="208">
        <v>19</v>
      </c>
      <c r="M32" s="99">
        <f t="shared" si="1"/>
        <v>78</v>
      </c>
      <c r="N32" s="204">
        <f>Tabla3[[#This Row],[NUMBER OF DAYS]]*Tabla3[[#This Row],[MAX. UNIT COST PER DAY]]</f>
        <v>1482</v>
      </c>
      <c r="O32" s="188"/>
      <c r="P32" s="188"/>
      <c r="Q32" s="188"/>
      <c r="R32" s="188"/>
      <c r="S32" s="188"/>
      <c r="T32" s="188"/>
      <c r="U32" s="188"/>
      <c r="V32" s="188"/>
      <c r="W32" s="188"/>
      <c r="X32" s="188"/>
      <c r="Y32" s="188"/>
      <c r="Z32" s="188"/>
      <c r="AA32" s="188"/>
      <c r="AB32" s="188"/>
      <c r="AC32" s="188"/>
      <c r="AD32" s="188"/>
      <c r="AE32" s="188"/>
      <c r="AF32" s="188"/>
      <c r="AG32" s="188"/>
      <c r="AH32" s="188"/>
    </row>
    <row r="33" spans="1:34" x14ac:dyDescent="0.25">
      <c r="A33" s="207" t="s">
        <v>24</v>
      </c>
      <c r="B33" s="45" t="s">
        <v>51</v>
      </c>
      <c r="C33" s="45" t="s">
        <v>94</v>
      </c>
      <c r="D33" s="75" t="s">
        <v>63</v>
      </c>
      <c r="E33" s="203" t="s">
        <v>784</v>
      </c>
      <c r="F33" s="158" t="s">
        <v>403</v>
      </c>
      <c r="G33" s="208" t="s">
        <v>229</v>
      </c>
      <c r="H33" s="45" t="s">
        <v>225</v>
      </c>
      <c r="I33" s="208" t="s">
        <v>782</v>
      </c>
      <c r="J33" s="218">
        <v>44392</v>
      </c>
      <c r="K33" s="218">
        <v>44561</v>
      </c>
      <c r="L33" s="208">
        <v>3</v>
      </c>
      <c r="M33" s="99">
        <f t="shared" si="1"/>
        <v>78</v>
      </c>
      <c r="N33" s="204">
        <f>Tabla3[[#This Row],[NUMBER OF DAYS]]*Tabla3[[#This Row],[MAX. UNIT COST PER DAY]]</f>
        <v>234</v>
      </c>
      <c r="O33" s="188"/>
      <c r="P33" s="188"/>
      <c r="Q33" s="188"/>
      <c r="R33" s="188"/>
      <c r="S33" s="188"/>
      <c r="T33" s="188"/>
      <c r="U33" s="188"/>
      <c r="V33" s="188"/>
      <c r="W33" s="188"/>
      <c r="X33" s="188"/>
      <c r="Y33" s="188"/>
      <c r="Z33" s="188"/>
      <c r="AA33" s="188"/>
      <c r="AB33" s="188"/>
      <c r="AC33" s="188"/>
      <c r="AD33" s="188"/>
      <c r="AE33" s="188"/>
      <c r="AF33" s="188"/>
      <c r="AG33" s="188"/>
      <c r="AH33" s="188"/>
    </row>
    <row r="34" spans="1:34" x14ac:dyDescent="0.25">
      <c r="A34" s="207" t="s">
        <v>72</v>
      </c>
      <c r="B34" s="45" t="s">
        <v>51</v>
      </c>
      <c r="C34" s="45" t="s">
        <v>94</v>
      </c>
      <c r="D34" s="75" t="s">
        <v>63</v>
      </c>
      <c r="E34" s="203" t="s">
        <v>784</v>
      </c>
      <c r="F34" s="158" t="s">
        <v>403</v>
      </c>
      <c r="G34" s="208" t="s">
        <v>229</v>
      </c>
      <c r="H34" s="45" t="s">
        <v>212</v>
      </c>
      <c r="I34" s="208" t="s">
        <v>783</v>
      </c>
      <c r="J34" s="218">
        <v>44392</v>
      </c>
      <c r="K34" s="218">
        <v>44561</v>
      </c>
      <c r="L34" s="208">
        <v>8</v>
      </c>
      <c r="M34" s="99">
        <f t="shared" si="1"/>
        <v>78</v>
      </c>
      <c r="N34" s="204">
        <f>Tabla3[[#This Row],[NUMBER OF DAYS]]*Tabla3[[#This Row],[MAX. UNIT COST PER DAY]]</f>
        <v>624</v>
      </c>
      <c r="O34" s="188"/>
      <c r="P34" s="188"/>
      <c r="Q34" s="188"/>
      <c r="R34" s="188"/>
      <c r="S34" s="188"/>
      <c r="T34" s="188"/>
      <c r="U34" s="188"/>
      <c r="V34" s="188"/>
      <c r="W34" s="188"/>
      <c r="X34" s="188"/>
      <c r="Y34" s="188"/>
      <c r="Z34" s="188"/>
      <c r="AA34" s="188"/>
      <c r="AB34" s="188"/>
      <c r="AC34" s="188"/>
      <c r="AD34" s="188"/>
      <c r="AE34" s="188"/>
      <c r="AF34" s="188"/>
      <c r="AG34" s="188"/>
      <c r="AH34" s="188"/>
    </row>
    <row r="35" spans="1:34" x14ac:dyDescent="0.25">
      <c r="A35" s="207" t="s">
        <v>74</v>
      </c>
      <c r="B35" s="45" t="s">
        <v>51</v>
      </c>
      <c r="C35" s="45" t="s">
        <v>94</v>
      </c>
      <c r="D35" s="75" t="s">
        <v>63</v>
      </c>
      <c r="E35" s="75" t="s">
        <v>785</v>
      </c>
      <c r="F35" s="158" t="s">
        <v>403</v>
      </c>
      <c r="G35" s="208" t="s">
        <v>47</v>
      </c>
      <c r="H35" s="45" t="s">
        <v>210</v>
      </c>
      <c r="I35" s="208" t="s">
        <v>786</v>
      </c>
      <c r="J35" s="218">
        <v>44392</v>
      </c>
      <c r="K35" s="218">
        <v>44561</v>
      </c>
      <c r="L35" s="208">
        <v>15</v>
      </c>
      <c r="M35" s="99">
        <f t="shared" si="1"/>
        <v>164</v>
      </c>
      <c r="N35" s="204">
        <f>Tabla3[[#This Row],[NUMBER OF DAYS]]*Tabla3[[#This Row],[MAX. UNIT COST PER DAY]]</f>
        <v>2460</v>
      </c>
      <c r="O35" s="188"/>
      <c r="P35" s="188"/>
      <c r="Q35" s="188"/>
      <c r="R35" s="188"/>
      <c r="S35" s="188"/>
      <c r="T35" s="188"/>
      <c r="U35" s="188"/>
      <c r="V35" s="188"/>
      <c r="W35" s="188"/>
      <c r="X35" s="188"/>
      <c r="Y35" s="188"/>
      <c r="Z35" s="188"/>
      <c r="AA35" s="188"/>
      <c r="AB35" s="188"/>
      <c r="AC35" s="188"/>
      <c r="AD35" s="188"/>
      <c r="AE35" s="188"/>
      <c r="AF35" s="188"/>
      <c r="AG35" s="188"/>
      <c r="AH35" s="188"/>
    </row>
    <row r="36" spans="1:34" x14ac:dyDescent="0.25">
      <c r="A36" s="207" t="s">
        <v>24</v>
      </c>
      <c r="B36" s="45" t="s">
        <v>51</v>
      </c>
      <c r="C36" s="45" t="s">
        <v>94</v>
      </c>
      <c r="D36" s="75" t="s">
        <v>63</v>
      </c>
      <c r="E36" s="75" t="s">
        <v>785</v>
      </c>
      <c r="F36" s="158" t="s">
        <v>403</v>
      </c>
      <c r="G36" s="208" t="s">
        <v>47</v>
      </c>
      <c r="H36" s="45" t="s">
        <v>225</v>
      </c>
      <c r="I36" s="208" t="s">
        <v>787</v>
      </c>
      <c r="J36" s="218">
        <v>44392</v>
      </c>
      <c r="K36" s="218">
        <v>44561</v>
      </c>
      <c r="L36" s="208">
        <v>5</v>
      </c>
      <c r="M36" s="99">
        <f t="shared" si="1"/>
        <v>164</v>
      </c>
      <c r="N36" s="204">
        <f>Tabla3[[#This Row],[NUMBER OF DAYS]]*Tabla3[[#This Row],[MAX. UNIT COST PER DAY]]</f>
        <v>820</v>
      </c>
      <c r="O36" s="188"/>
      <c r="P36" s="188"/>
      <c r="Q36" s="188"/>
      <c r="R36" s="188"/>
      <c r="S36" s="188"/>
      <c r="T36" s="188"/>
      <c r="U36" s="188"/>
      <c r="V36" s="188"/>
      <c r="W36" s="188"/>
      <c r="X36" s="188"/>
      <c r="Y36" s="188"/>
      <c r="Z36" s="188"/>
      <c r="AA36" s="188"/>
      <c r="AB36" s="188"/>
      <c r="AC36" s="188"/>
      <c r="AD36" s="188"/>
      <c r="AE36" s="188"/>
      <c r="AF36" s="188"/>
      <c r="AG36" s="188"/>
      <c r="AH36" s="188"/>
    </row>
    <row r="37" spans="1:34" x14ac:dyDescent="0.25">
      <c r="A37" s="207" t="s">
        <v>72</v>
      </c>
      <c r="B37" s="45" t="s">
        <v>51</v>
      </c>
      <c r="C37" s="45" t="s">
        <v>94</v>
      </c>
      <c r="D37" s="75" t="s">
        <v>63</v>
      </c>
      <c r="E37" s="75" t="s">
        <v>785</v>
      </c>
      <c r="F37" s="158" t="s">
        <v>403</v>
      </c>
      <c r="G37" s="208" t="s">
        <v>47</v>
      </c>
      <c r="H37" s="45" t="s">
        <v>212</v>
      </c>
      <c r="I37" s="208" t="s">
        <v>788</v>
      </c>
      <c r="J37" s="218">
        <v>44392</v>
      </c>
      <c r="K37" s="218">
        <v>44561</v>
      </c>
      <c r="L37" s="208">
        <v>2</v>
      </c>
      <c r="M37" s="99">
        <f t="shared" si="1"/>
        <v>164</v>
      </c>
      <c r="N37" s="204">
        <f>Tabla3[[#This Row],[NUMBER OF DAYS]]*Tabla3[[#This Row],[MAX. UNIT COST PER DAY]]</f>
        <v>328</v>
      </c>
      <c r="O37" s="188"/>
      <c r="P37" s="188"/>
      <c r="Q37" s="188"/>
      <c r="R37" s="188"/>
      <c r="S37" s="188"/>
      <c r="T37" s="188"/>
      <c r="U37" s="188"/>
      <c r="V37" s="188"/>
      <c r="W37" s="188"/>
      <c r="X37" s="188"/>
      <c r="Y37" s="188"/>
      <c r="Z37" s="188"/>
      <c r="AA37" s="188"/>
      <c r="AB37" s="188"/>
      <c r="AC37" s="188"/>
      <c r="AD37" s="188"/>
      <c r="AE37" s="188"/>
      <c r="AF37" s="188"/>
      <c r="AG37" s="188"/>
      <c r="AH37" s="188"/>
    </row>
    <row r="38" spans="1:34" s="89" customFormat="1" x14ac:dyDescent="0.25">
      <c r="B38" s="66"/>
      <c r="C38" s="66"/>
      <c r="D38" s="69"/>
      <c r="E38" s="91"/>
      <c r="J38" s="91"/>
      <c r="K38" s="91"/>
      <c r="N38" s="101">
        <f>Tabla3[[#This Row],[NUMBER OF DAYS]]*Tabla3[[#This Row],[MAX. UNIT COST PER DAY]]</f>
        <v>0</v>
      </c>
      <c r="O38"/>
      <c r="P38"/>
      <c r="Q38"/>
      <c r="R38"/>
      <c r="S38"/>
      <c r="T38"/>
      <c r="U38"/>
      <c r="V38"/>
      <c r="W38"/>
      <c r="X38"/>
      <c r="Y38"/>
      <c r="Z38"/>
      <c r="AA38"/>
      <c r="AB38"/>
      <c r="AC38"/>
      <c r="AD38"/>
      <c r="AE38"/>
      <c r="AF38"/>
      <c r="AG38"/>
      <c r="AH38"/>
    </row>
    <row r="39" spans="1:34" x14ac:dyDescent="0.25">
      <c r="A39" s="45" t="s">
        <v>23</v>
      </c>
      <c r="B39" s="64" t="s">
        <v>52</v>
      </c>
      <c r="C39" s="64" t="s">
        <v>96</v>
      </c>
      <c r="D39" s="76" t="s">
        <v>63</v>
      </c>
      <c r="E39" s="75" t="s">
        <v>147</v>
      </c>
      <c r="F39" s="45" t="s">
        <v>144</v>
      </c>
      <c r="G39" s="45" t="s">
        <v>47</v>
      </c>
      <c r="H39" s="96" t="s">
        <v>210</v>
      </c>
      <c r="I39" s="90" t="s">
        <v>555</v>
      </c>
      <c r="J39" s="78">
        <v>43845</v>
      </c>
      <c r="K39" s="78">
        <v>44026</v>
      </c>
      <c r="L39" s="45">
        <v>5</v>
      </c>
      <c r="M39" s="99">
        <f t="shared" ref="M39" si="2">IF(AND(G39="Manager",D39="Spain"),164,IF(AND(G39="Teacher/Trainer/Researcher",D39="Spain"),137,IF(AND(G39="Technical Staff",D39="Spain"),102,IF(AND(G39="Administrative staff",D39="Spain"),78,IF(AND(G39="Manager",D39="Slovenia"),164,IF(AND(G39="Teacher/Trainer/Researcher",D39="Slovenia"),137,IF(AND(G39="Technical Staff",D39="Slovenia"),102,IF(AND(G39="Administrative staff",D39="Slovenia"),78,IF(AND(G39="Manager",D39="Italy"),280,IF(AND(G39="Teacher/Trainer/Researcher",D39="Italy"),214,IF(AND(G39="Technical Staff",D39="Italy"),162,IF(AND(G39="Administrative staff",D39="Italy"),131,IF(AND(G39="Manager",D39="Kazakhstan"),77,IF(AND(G39="Teacher/Trainer/Researcher",D39="Kazakhstan"),57,IF(AND(G39="Technical Staff",D39="Kazakhstan"),40,IF(AND(G39="Administrative staff",D39="Kazakhstan"),32,IF(AND(G39="Manager",D39="Turkmenistan"),47,IF(AND(G39="Teacher/Trainer/Researcher",D39="Turkmenistan"),33,IF(AND(G39="Technical Staff",D39="Turkmenistan"),22,IF(AND(G39="Administrative staff",D39="Turkmenistan"),17,IF(AND(G39="Manager",D39="Tajikistan"),47,IF(AND(G39="Teacher/Trainer/Researcher",D39="Tajikistan"),33,IF(AND(G39="Technical Staff",D39="Tajikistan"),22,IF(AND(G39="Administrative staff",D39="Tajikistan"),17,))))))))))))))))))))))))</f>
        <v>164</v>
      </c>
      <c r="N39" s="99">
        <f>Tabla3[[#This Row],[NUMBER OF DAYS]]*Tabla3[[#This Row],[MAX. UNIT COST PER DAY]]</f>
        <v>820</v>
      </c>
    </row>
    <row r="40" spans="1:34" x14ac:dyDescent="0.25">
      <c r="A40" s="92" t="s">
        <v>72</v>
      </c>
      <c r="B40" s="64" t="s">
        <v>52</v>
      </c>
      <c r="C40" s="64" t="s">
        <v>96</v>
      </c>
      <c r="D40" s="76" t="s">
        <v>63</v>
      </c>
      <c r="E40" s="75" t="s">
        <v>147</v>
      </c>
      <c r="F40" s="45" t="s">
        <v>144</v>
      </c>
      <c r="G40" s="45" t="s">
        <v>47</v>
      </c>
      <c r="H40" s="96" t="s">
        <v>212</v>
      </c>
      <c r="I40" s="90" t="s">
        <v>556</v>
      </c>
      <c r="J40" s="78">
        <v>43845</v>
      </c>
      <c r="K40" s="78">
        <v>44026</v>
      </c>
      <c r="L40" s="64">
        <v>5</v>
      </c>
      <c r="M40" s="99">
        <f t="shared" ref="M40:M56" si="3">IF(AND(G40="Manager",D40="Spain"),164,IF(AND(G40="Teacher/Trainer/Researcher",D40="Spain"),137,IF(AND(G40="Technical Staff",D40="Spain"),102,IF(AND(G40="Administrative staff",D40="Spain"),78,IF(AND(G40="Manager",D40="Slovenia"),164,IF(AND(G40="Teacher/Trainer/Researcher",D40="Slovenia"),137,IF(AND(G40="Technical Staff",D40="Slovenia"),102,IF(AND(G40="Administrative staff",D40="Slovenia"),78,IF(AND(G40="Manager",D40="Italy"),280,IF(AND(G40="Teacher/Trainer/Researcher",D40="Italy"),214,IF(AND(G40="Technical Staff",D40="Italy"),162,IF(AND(G40="Administrative staff",D40="Italy"),131,IF(AND(G40="Manager",D40="Kazakhstan"),77,IF(AND(G40="Teacher/Trainer/Researcher",D40="Kazakhstan"),57,IF(AND(G40="Technical Staff",D40="Kazakhstan"),40,IF(AND(G40="Administrative staff",D40="Kazakhstan"),32,IF(AND(G40="Manager",D40="Turkmenistan"),47,IF(AND(G40="Teacher/Trainer/Researcher",D40="Turkmenistan"),33,IF(AND(G40="Technical Staff",D40="Turkmenistan"),22,IF(AND(G40="Administrative staff",D40="Turkmenistan"),17,IF(AND(G40="Manager",D40="Tajikistan"),47,IF(AND(G40="Teacher/Trainer/Researcher",D40="Tajikistan"),33,IF(AND(G40="Technical Staff",D40="Tajikistan"),22,IF(AND(G40="Administrative staff",D40="Tajikistan"),17,))))))))))))))))))))))))</f>
        <v>164</v>
      </c>
      <c r="N40" s="99">
        <f>Tabla3[[#This Row],[NUMBER OF DAYS]]*Tabla3[[#This Row],[MAX. UNIT COST PER DAY]]</f>
        <v>820</v>
      </c>
    </row>
    <row r="41" spans="1:34" x14ac:dyDescent="0.25">
      <c r="A41" s="92" t="s">
        <v>23</v>
      </c>
      <c r="B41" s="64" t="s">
        <v>52</v>
      </c>
      <c r="C41" s="64" t="s">
        <v>96</v>
      </c>
      <c r="D41" s="76" t="s">
        <v>63</v>
      </c>
      <c r="E41" s="75" t="s">
        <v>148</v>
      </c>
      <c r="F41" s="45" t="s">
        <v>144</v>
      </c>
      <c r="G41" s="64" t="s">
        <v>48</v>
      </c>
      <c r="H41" s="96" t="s">
        <v>211</v>
      </c>
      <c r="I41" s="93" t="s">
        <v>153</v>
      </c>
      <c r="J41" s="78">
        <v>43845</v>
      </c>
      <c r="K41" s="78">
        <v>44026</v>
      </c>
      <c r="L41" s="64">
        <v>40</v>
      </c>
      <c r="M41" s="99">
        <f t="shared" si="3"/>
        <v>137</v>
      </c>
      <c r="N41" s="99">
        <f>Tabla3[[#This Row],[NUMBER OF DAYS]]*Tabla3[[#This Row],[MAX. UNIT COST PER DAY]]</f>
        <v>5480</v>
      </c>
    </row>
    <row r="42" spans="1:34" x14ac:dyDescent="0.25">
      <c r="A42" s="92" t="s">
        <v>23</v>
      </c>
      <c r="B42" s="64" t="s">
        <v>52</v>
      </c>
      <c r="C42" s="64" t="s">
        <v>96</v>
      </c>
      <c r="D42" s="76" t="s">
        <v>63</v>
      </c>
      <c r="E42" s="76" t="s">
        <v>149</v>
      </c>
      <c r="F42" s="64" t="s">
        <v>145</v>
      </c>
      <c r="G42" s="64" t="s">
        <v>48</v>
      </c>
      <c r="H42" s="96" t="s">
        <v>211</v>
      </c>
      <c r="I42" s="93" t="s">
        <v>152</v>
      </c>
      <c r="J42" s="78">
        <v>43845</v>
      </c>
      <c r="K42" s="78">
        <v>44026</v>
      </c>
      <c r="L42" s="64">
        <v>12</v>
      </c>
      <c r="M42" s="99">
        <f t="shared" si="3"/>
        <v>137</v>
      </c>
      <c r="N42" s="99">
        <f>Tabla3[[#This Row],[NUMBER OF DAYS]]*Tabla3[[#This Row],[MAX. UNIT COST PER DAY]]</f>
        <v>1644</v>
      </c>
    </row>
    <row r="43" spans="1:34" x14ac:dyDescent="0.25">
      <c r="A43" s="92" t="s">
        <v>23</v>
      </c>
      <c r="B43" s="64" t="s">
        <v>52</v>
      </c>
      <c r="C43" s="64" t="s">
        <v>96</v>
      </c>
      <c r="D43" s="76" t="s">
        <v>63</v>
      </c>
      <c r="E43" s="75" t="s">
        <v>150</v>
      </c>
      <c r="F43" s="64" t="s">
        <v>146</v>
      </c>
      <c r="G43" s="64" t="s">
        <v>48</v>
      </c>
      <c r="H43" s="96" t="s">
        <v>211</v>
      </c>
      <c r="I43" s="93" t="s">
        <v>151</v>
      </c>
      <c r="J43" s="78">
        <v>43845</v>
      </c>
      <c r="K43" s="78">
        <v>44026</v>
      </c>
      <c r="L43" s="64">
        <v>41</v>
      </c>
      <c r="M43" s="99">
        <f t="shared" si="3"/>
        <v>137</v>
      </c>
      <c r="N43" s="99">
        <f>Tabla3[[#This Row],[NUMBER OF DAYS]]*Tabla3[[#This Row],[MAX. UNIT COST PER DAY]]</f>
        <v>5617</v>
      </c>
    </row>
    <row r="44" spans="1:34" x14ac:dyDescent="0.25">
      <c r="A44" s="94" t="s">
        <v>72</v>
      </c>
      <c r="B44" s="64" t="s">
        <v>52</v>
      </c>
      <c r="C44" s="64" t="s">
        <v>96</v>
      </c>
      <c r="D44" s="76" t="s">
        <v>63</v>
      </c>
      <c r="E44" s="75" t="s">
        <v>328</v>
      </c>
      <c r="F44" s="45" t="s">
        <v>144</v>
      </c>
      <c r="G44" s="45" t="s">
        <v>47</v>
      </c>
      <c r="H44" s="45" t="s">
        <v>212</v>
      </c>
      <c r="I44" s="90" t="s">
        <v>329</v>
      </c>
      <c r="J44" s="78">
        <v>44027</v>
      </c>
      <c r="K44" s="78">
        <v>44210</v>
      </c>
      <c r="L44" s="45">
        <v>5</v>
      </c>
      <c r="M44" s="99">
        <f t="shared" si="3"/>
        <v>164</v>
      </c>
      <c r="N44" s="99">
        <f>Tabla3[[#This Row],[NUMBER OF DAYS]]*Tabla3[[#This Row],[MAX. UNIT COST PER DAY]]</f>
        <v>820</v>
      </c>
      <c r="O44" s="152"/>
      <c r="P44" s="152"/>
      <c r="Q44" s="152"/>
      <c r="R44" s="152"/>
      <c r="S44" s="152"/>
      <c r="T44" s="152"/>
      <c r="U44" s="152"/>
      <c r="V44" s="152"/>
      <c r="W44" s="152"/>
      <c r="X44" s="152"/>
      <c r="Y44" s="152"/>
      <c r="Z44" s="152"/>
      <c r="AA44" s="152"/>
      <c r="AB44" s="152"/>
      <c r="AC44" s="152"/>
      <c r="AD44" s="152"/>
      <c r="AE44" s="152"/>
      <c r="AF44" s="152"/>
      <c r="AG44" s="152"/>
      <c r="AH44" s="152"/>
    </row>
    <row r="45" spans="1:34" x14ac:dyDescent="0.25">
      <c r="A45" s="94" t="s">
        <v>24</v>
      </c>
      <c r="B45" s="64" t="s">
        <v>52</v>
      </c>
      <c r="C45" s="64" t="s">
        <v>96</v>
      </c>
      <c r="D45" s="76" t="s">
        <v>63</v>
      </c>
      <c r="E45" s="75" t="s">
        <v>330</v>
      </c>
      <c r="F45" s="45" t="s">
        <v>144</v>
      </c>
      <c r="G45" s="64" t="s">
        <v>48</v>
      </c>
      <c r="H45" s="45" t="s">
        <v>225</v>
      </c>
      <c r="I45" s="90" t="s">
        <v>331</v>
      </c>
      <c r="J45" s="78">
        <v>44027</v>
      </c>
      <c r="K45" s="78">
        <v>44210</v>
      </c>
      <c r="L45" s="45">
        <v>20</v>
      </c>
      <c r="M45" s="99">
        <f t="shared" si="3"/>
        <v>137</v>
      </c>
      <c r="N45" s="99">
        <f>Tabla3[[#This Row],[NUMBER OF DAYS]]*Tabla3[[#This Row],[MAX. UNIT COST PER DAY]]</f>
        <v>2740</v>
      </c>
      <c r="O45" s="152"/>
      <c r="P45" s="152"/>
      <c r="Q45" s="152"/>
      <c r="R45" s="152"/>
      <c r="S45" s="152"/>
      <c r="T45" s="152"/>
      <c r="U45" s="152"/>
      <c r="V45" s="152"/>
      <c r="W45" s="152"/>
      <c r="X45" s="152"/>
      <c r="Y45" s="152"/>
      <c r="Z45" s="152"/>
      <c r="AA45" s="152"/>
      <c r="AB45" s="152"/>
      <c r="AC45" s="152"/>
      <c r="AD45" s="152"/>
      <c r="AE45" s="152"/>
      <c r="AF45" s="152"/>
      <c r="AG45" s="152"/>
      <c r="AH45" s="152"/>
    </row>
    <row r="46" spans="1:34" x14ac:dyDescent="0.25">
      <c r="A46" s="94" t="s">
        <v>23</v>
      </c>
      <c r="B46" s="64" t="s">
        <v>52</v>
      </c>
      <c r="C46" s="64" t="s">
        <v>96</v>
      </c>
      <c r="D46" s="76" t="s">
        <v>63</v>
      </c>
      <c r="E46" s="75" t="s">
        <v>332</v>
      </c>
      <c r="F46" s="45" t="s">
        <v>145</v>
      </c>
      <c r="G46" s="45" t="s">
        <v>48</v>
      </c>
      <c r="H46" s="45" t="s">
        <v>211</v>
      </c>
      <c r="I46" s="90" t="s">
        <v>333</v>
      </c>
      <c r="J46" s="78">
        <v>44027</v>
      </c>
      <c r="K46" s="78">
        <v>44210</v>
      </c>
      <c r="L46" s="45">
        <v>16</v>
      </c>
      <c r="M46" s="99">
        <f t="shared" si="3"/>
        <v>137</v>
      </c>
      <c r="N46" s="99">
        <f>Tabla3[[#This Row],[NUMBER OF DAYS]]*Tabla3[[#This Row],[MAX. UNIT COST PER DAY]]</f>
        <v>2192</v>
      </c>
      <c r="O46" s="152"/>
      <c r="P46" s="152"/>
      <c r="Q46" s="152"/>
      <c r="R46" s="152"/>
      <c r="S46" s="152"/>
      <c r="T46" s="152"/>
      <c r="U46" s="152"/>
      <c r="V46" s="152"/>
      <c r="W46" s="152"/>
      <c r="X46" s="152"/>
      <c r="Y46" s="152"/>
      <c r="Z46" s="152"/>
      <c r="AA46" s="152"/>
      <c r="AB46" s="152"/>
      <c r="AC46" s="152"/>
      <c r="AD46" s="152"/>
      <c r="AE46" s="152"/>
      <c r="AF46" s="152"/>
      <c r="AG46" s="152"/>
      <c r="AH46" s="152"/>
    </row>
    <row r="47" spans="1:34" x14ac:dyDescent="0.25">
      <c r="A47" s="94" t="s">
        <v>23</v>
      </c>
      <c r="B47" s="64" t="s">
        <v>52</v>
      </c>
      <c r="C47" s="64" t="s">
        <v>96</v>
      </c>
      <c r="D47" s="76" t="s">
        <v>63</v>
      </c>
      <c r="E47" s="75" t="s">
        <v>334</v>
      </c>
      <c r="F47" s="64" t="s">
        <v>146</v>
      </c>
      <c r="G47" s="64" t="s">
        <v>48</v>
      </c>
      <c r="H47" s="45" t="s">
        <v>211</v>
      </c>
      <c r="I47" s="90" t="s">
        <v>335</v>
      </c>
      <c r="J47" s="78">
        <v>44027</v>
      </c>
      <c r="K47" s="78">
        <v>44210</v>
      </c>
      <c r="L47" s="45">
        <v>1</v>
      </c>
      <c r="M47" s="99">
        <f t="shared" si="3"/>
        <v>137</v>
      </c>
      <c r="N47" s="99">
        <f>Tabla3[[#This Row],[NUMBER OF DAYS]]*Tabla3[[#This Row],[MAX. UNIT COST PER DAY]]</f>
        <v>137</v>
      </c>
      <c r="O47" s="152"/>
      <c r="P47" s="152"/>
      <c r="Q47" s="152"/>
      <c r="R47" s="152"/>
      <c r="S47" s="152"/>
      <c r="T47" s="152"/>
      <c r="U47" s="152"/>
      <c r="V47" s="152"/>
      <c r="W47" s="152"/>
      <c r="X47" s="152"/>
      <c r="Y47" s="152"/>
      <c r="Z47" s="152"/>
      <c r="AA47" s="152"/>
      <c r="AB47" s="152"/>
      <c r="AC47" s="152"/>
      <c r="AD47" s="152"/>
      <c r="AE47" s="152"/>
      <c r="AF47" s="152"/>
      <c r="AG47" s="152"/>
      <c r="AH47" s="152"/>
    </row>
    <row r="48" spans="1:34" x14ac:dyDescent="0.25">
      <c r="A48" s="94" t="s">
        <v>24</v>
      </c>
      <c r="B48" s="64" t="s">
        <v>52</v>
      </c>
      <c r="C48" s="64" t="s">
        <v>96</v>
      </c>
      <c r="D48" s="76" t="s">
        <v>63</v>
      </c>
      <c r="E48" s="75" t="s">
        <v>334</v>
      </c>
      <c r="F48" s="64" t="s">
        <v>146</v>
      </c>
      <c r="G48" s="64" t="s">
        <v>48</v>
      </c>
      <c r="H48" s="45" t="s">
        <v>225</v>
      </c>
      <c r="I48" s="90" t="s">
        <v>336</v>
      </c>
      <c r="J48" s="78">
        <v>44027</v>
      </c>
      <c r="K48" s="78">
        <v>44210</v>
      </c>
      <c r="L48" s="45">
        <v>20</v>
      </c>
      <c r="M48" s="99">
        <f t="shared" si="3"/>
        <v>137</v>
      </c>
      <c r="N48" s="99">
        <f>Tabla3[[#This Row],[NUMBER OF DAYS]]*Tabla3[[#This Row],[MAX. UNIT COST PER DAY]]</f>
        <v>2740</v>
      </c>
      <c r="O48" s="152"/>
      <c r="P48" s="152"/>
      <c r="Q48" s="152"/>
      <c r="R48" s="152"/>
      <c r="S48" s="152"/>
      <c r="T48" s="152"/>
      <c r="U48" s="152"/>
      <c r="V48" s="152"/>
      <c r="W48" s="152"/>
      <c r="X48" s="152"/>
      <c r="Y48" s="152"/>
      <c r="Z48" s="152"/>
      <c r="AA48" s="152"/>
      <c r="AB48" s="152"/>
      <c r="AC48" s="152"/>
      <c r="AD48" s="152"/>
      <c r="AE48" s="152"/>
      <c r="AF48" s="152"/>
      <c r="AG48" s="152"/>
      <c r="AH48" s="152"/>
    </row>
    <row r="49" spans="1:34" x14ac:dyDescent="0.25">
      <c r="A49" s="194" t="s">
        <v>72</v>
      </c>
      <c r="B49" s="64" t="s">
        <v>52</v>
      </c>
      <c r="C49" s="64" t="s">
        <v>96</v>
      </c>
      <c r="D49" s="76" t="s">
        <v>63</v>
      </c>
      <c r="E49" s="75" t="s">
        <v>558</v>
      </c>
      <c r="F49" s="45" t="s">
        <v>144</v>
      </c>
      <c r="G49" s="45" t="s">
        <v>47</v>
      </c>
      <c r="H49" s="45" t="s">
        <v>212</v>
      </c>
      <c r="I49" s="195" t="s">
        <v>557</v>
      </c>
      <c r="J49" s="196">
        <v>44211</v>
      </c>
      <c r="K49" s="196">
        <v>44391</v>
      </c>
      <c r="L49" s="192">
        <v>5</v>
      </c>
      <c r="M49" s="99">
        <f t="shared" si="3"/>
        <v>164</v>
      </c>
      <c r="N49" s="99">
        <f>Tabla3[[#This Row],[NUMBER OF DAYS]]*Tabla3[[#This Row],[MAX. UNIT COST PER DAY]]</f>
        <v>820</v>
      </c>
      <c r="O49" s="188"/>
      <c r="P49" s="188"/>
      <c r="Q49" s="188"/>
      <c r="R49" s="188"/>
      <c r="S49" s="188"/>
      <c r="T49" s="188"/>
      <c r="U49" s="188"/>
      <c r="V49" s="188"/>
      <c r="W49" s="188"/>
      <c r="X49" s="188"/>
      <c r="Y49" s="188"/>
      <c r="Z49" s="188"/>
      <c r="AA49" s="188"/>
      <c r="AB49" s="188"/>
      <c r="AC49" s="188"/>
      <c r="AD49" s="188"/>
      <c r="AE49" s="188"/>
      <c r="AF49" s="188"/>
      <c r="AG49" s="188"/>
      <c r="AH49" s="188"/>
    </row>
    <row r="50" spans="1:34" x14ac:dyDescent="0.25">
      <c r="A50" s="94" t="s">
        <v>24</v>
      </c>
      <c r="B50" s="64" t="s">
        <v>52</v>
      </c>
      <c r="C50" s="64" t="s">
        <v>96</v>
      </c>
      <c r="D50" s="76" t="s">
        <v>63</v>
      </c>
      <c r="E50" s="75" t="s">
        <v>560</v>
      </c>
      <c r="F50" s="45" t="s">
        <v>144</v>
      </c>
      <c r="G50" s="64" t="s">
        <v>48</v>
      </c>
      <c r="H50" s="45" t="s">
        <v>225</v>
      </c>
      <c r="I50" s="90" t="s">
        <v>559</v>
      </c>
      <c r="J50" s="196">
        <v>44211</v>
      </c>
      <c r="K50" s="196">
        <v>44391</v>
      </c>
      <c r="L50" s="192">
        <v>60</v>
      </c>
      <c r="M50" s="99">
        <f t="shared" si="3"/>
        <v>137</v>
      </c>
      <c r="N50" s="99">
        <f>Tabla3[[#This Row],[NUMBER OF DAYS]]*Tabla3[[#This Row],[MAX. UNIT COST PER DAY]]</f>
        <v>8220</v>
      </c>
      <c r="O50" s="188"/>
      <c r="P50" s="188"/>
      <c r="Q50" s="188"/>
      <c r="R50" s="188"/>
      <c r="S50" s="188"/>
      <c r="T50" s="188"/>
      <c r="U50" s="188"/>
      <c r="V50" s="188"/>
      <c r="W50" s="188"/>
      <c r="X50" s="188"/>
      <c r="Y50" s="188"/>
      <c r="Z50" s="188"/>
      <c r="AA50" s="188"/>
      <c r="AB50" s="188"/>
      <c r="AC50" s="188"/>
      <c r="AD50" s="188"/>
      <c r="AE50" s="188"/>
      <c r="AF50" s="188"/>
      <c r="AG50" s="188"/>
      <c r="AH50" s="188"/>
    </row>
    <row r="51" spans="1:34" x14ac:dyDescent="0.25">
      <c r="A51" s="194" t="s">
        <v>24</v>
      </c>
      <c r="B51" s="64" t="s">
        <v>52</v>
      </c>
      <c r="C51" s="64" t="s">
        <v>96</v>
      </c>
      <c r="D51" s="76" t="s">
        <v>63</v>
      </c>
      <c r="E51" s="75" t="s">
        <v>562</v>
      </c>
      <c r="F51" s="192" t="s">
        <v>561</v>
      </c>
      <c r="G51" s="64" t="s">
        <v>48</v>
      </c>
      <c r="H51" s="45" t="s">
        <v>225</v>
      </c>
      <c r="I51" s="195" t="s">
        <v>563</v>
      </c>
      <c r="J51" s="196">
        <v>44211</v>
      </c>
      <c r="K51" s="196">
        <v>44391</v>
      </c>
      <c r="L51" s="192">
        <v>20</v>
      </c>
      <c r="M51" s="99">
        <f t="shared" si="3"/>
        <v>137</v>
      </c>
      <c r="N51" s="99">
        <f>Tabla3[[#This Row],[NUMBER OF DAYS]]*Tabla3[[#This Row],[MAX. UNIT COST PER DAY]]</f>
        <v>2740</v>
      </c>
      <c r="O51" s="188"/>
      <c r="P51" s="188"/>
      <c r="Q51" s="188"/>
      <c r="R51" s="188"/>
      <c r="S51" s="188"/>
      <c r="T51" s="188"/>
      <c r="U51" s="188"/>
      <c r="V51" s="188"/>
      <c r="W51" s="188"/>
      <c r="X51" s="188"/>
      <c r="Y51" s="188"/>
      <c r="Z51" s="188"/>
      <c r="AA51" s="188"/>
      <c r="AB51" s="188"/>
      <c r="AC51" s="188"/>
      <c r="AD51" s="188"/>
      <c r="AE51" s="188"/>
      <c r="AF51" s="188"/>
      <c r="AG51" s="188"/>
      <c r="AH51" s="188"/>
    </row>
    <row r="52" spans="1:34" x14ac:dyDescent="0.25">
      <c r="A52" s="194" t="s">
        <v>24</v>
      </c>
      <c r="B52" s="64" t="s">
        <v>52</v>
      </c>
      <c r="C52" s="64" t="s">
        <v>96</v>
      </c>
      <c r="D52" s="76" t="s">
        <v>63</v>
      </c>
      <c r="E52" s="75" t="s">
        <v>565</v>
      </c>
      <c r="F52" s="64" t="s">
        <v>146</v>
      </c>
      <c r="G52" s="64" t="s">
        <v>48</v>
      </c>
      <c r="H52" s="45" t="s">
        <v>225</v>
      </c>
      <c r="I52" s="195" t="s">
        <v>564</v>
      </c>
      <c r="J52" s="196">
        <v>44211</v>
      </c>
      <c r="K52" s="196">
        <v>44391</v>
      </c>
      <c r="L52" s="192">
        <v>60</v>
      </c>
      <c r="M52" s="99">
        <f t="shared" si="3"/>
        <v>137</v>
      </c>
      <c r="N52" s="99">
        <f>Tabla3[[#This Row],[NUMBER OF DAYS]]*Tabla3[[#This Row],[MAX. UNIT COST PER DAY]]</f>
        <v>8220</v>
      </c>
      <c r="O52" s="188"/>
      <c r="P52" s="188"/>
      <c r="Q52" s="188"/>
      <c r="R52" s="188"/>
      <c r="S52" s="188"/>
      <c r="T52" s="188"/>
      <c r="U52" s="188"/>
      <c r="V52" s="188"/>
      <c r="W52" s="188"/>
      <c r="X52" s="188"/>
      <c r="Y52" s="188"/>
      <c r="Z52" s="188"/>
      <c r="AA52" s="188"/>
      <c r="AB52" s="188"/>
      <c r="AC52" s="188"/>
      <c r="AD52" s="188"/>
      <c r="AE52" s="188"/>
      <c r="AF52" s="188"/>
      <c r="AG52" s="188"/>
      <c r="AH52" s="188"/>
    </row>
    <row r="53" spans="1:34" x14ac:dyDescent="0.25">
      <c r="A53" s="94" t="s">
        <v>72</v>
      </c>
      <c r="B53" s="64" t="s">
        <v>52</v>
      </c>
      <c r="C53" s="64" t="s">
        <v>96</v>
      </c>
      <c r="D53" s="76" t="s">
        <v>63</v>
      </c>
      <c r="E53" s="75" t="s">
        <v>742</v>
      </c>
      <c r="F53" s="45" t="s">
        <v>144</v>
      </c>
      <c r="G53" s="45" t="s">
        <v>47</v>
      </c>
      <c r="H53" s="45" t="s">
        <v>212</v>
      </c>
      <c r="I53" s="90" t="s">
        <v>743</v>
      </c>
      <c r="J53" s="218">
        <v>44392</v>
      </c>
      <c r="K53" s="218">
        <v>44561</v>
      </c>
      <c r="L53" s="45">
        <v>3</v>
      </c>
      <c r="M53" s="99">
        <f t="shared" si="3"/>
        <v>164</v>
      </c>
      <c r="N53" s="99">
        <f>Tabla3[[#This Row],[NUMBER OF DAYS]]*Tabla3[[#This Row],[MAX. UNIT COST PER DAY]]</f>
        <v>492</v>
      </c>
      <c r="O53" s="188"/>
      <c r="P53" s="188"/>
      <c r="Q53" s="188"/>
      <c r="R53" s="188"/>
      <c r="S53" s="188"/>
      <c r="T53" s="188"/>
      <c r="U53" s="188"/>
      <c r="V53" s="188"/>
      <c r="W53" s="188"/>
      <c r="X53" s="188"/>
      <c r="Y53" s="188"/>
      <c r="Z53" s="188"/>
      <c r="AA53" s="188"/>
      <c r="AB53" s="188"/>
      <c r="AC53" s="188"/>
      <c r="AD53" s="188"/>
      <c r="AE53" s="188"/>
      <c r="AF53" s="188"/>
      <c r="AG53" s="188"/>
      <c r="AH53" s="188"/>
    </row>
    <row r="54" spans="1:34" x14ac:dyDescent="0.25">
      <c r="A54" s="94" t="s">
        <v>24</v>
      </c>
      <c r="B54" s="64" t="s">
        <v>52</v>
      </c>
      <c r="C54" s="64" t="s">
        <v>96</v>
      </c>
      <c r="D54" s="76" t="s">
        <v>63</v>
      </c>
      <c r="E54" s="75" t="s">
        <v>742</v>
      </c>
      <c r="F54" s="45" t="s">
        <v>144</v>
      </c>
      <c r="G54" s="45" t="s">
        <v>47</v>
      </c>
      <c r="H54" s="45" t="s">
        <v>225</v>
      </c>
      <c r="I54" s="90" t="s">
        <v>744</v>
      </c>
      <c r="J54" s="218">
        <v>44392</v>
      </c>
      <c r="K54" s="218">
        <v>44561</v>
      </c>
      <c r="L54" s="45">
        <v>2</v>
      </c>
      <c r="M54" s="99">
        <f t="shared" si="3"/>
        <v>164</v>
      </c>
      <c r="N54" s="99">
        <f>Tabla3[[#This Row],[NUMBER OF DAYS]]*Tabla3[[#This Row],[MAX. UNIT COST PER DAY]]</f>
        <v>328</v>
      </c>
      <c r="O54" s="188"/>
      <c r="P54" s="188"/>
      <c r="Q54" s="188"/>
      <c r="R54" s="188"/>
      <c r="S54" s="188"/>
      <c r="T54" s="188"/>
      <c r="U54" s="188"/>
      <c r="V54" s="188"/>
      <c r="W54" s="188"/>
      <c r="X54" s="188"/>
      <c r="Y54" s="188"/>
      <c r="Z54" s="188"/>
      <c r="AA54" s="188"/>
      <c r="AB54" s="188"/>
      <c r="AC54" s="188"/>
      <c r="AD54" s="188"/>
      <c r="AE54" s="188"/>
      <c r="AF54" s="188"/>
      <c r="AG54" s="188"/>
      <c r="AH54" s="188"/>
    </row>
    <row r="55" spans="1:34" x14ac:dyDescent="0.25">
      <c r="A55" s="94" t="s">
        <v>24</v>
      </c>
      <c r="B55" s="64" t="s">
        <v>52</v>
      </c>
      <c r="C55" s="64" t="s">
        <v>96</v>
      </c>
      <c r="D55" s="76" t="s">
        <v>63</v>
      </c>
      <c r="E55" s="75" t="s">
        <v>746</v>
      </c>
      <c r="F55" s="45" t="s">
        <v>144</v>
      </c>
      <c r="G55" s="45" t="s">
        <v>48</v>
      </c>
      <c r="H55" s="45" t="s">
        <v>225</v>
      </c>
      <c r="I55" s="90" t="s">
        <v>745</v>
      </c>
      <c r="J55" s="218">
        <v>44392</v>
      </c>
      <c r="K55" s="218">
        <v>44561</v>
      </c>
      <c r="L55" s="45">
        <v>5</v>
      </c>
      <c r="M55" s="99">
        <f t="shared" si="3"/>
        <v>137</v>
      </c>
      <c r="N55" s="99">
        <f>Tabla3[[#This Row],[NUMBER OF DAYS]]*Tabla3[[#This Row],[MAX. UNIT COST PER DAY]]</f>
        <v>685</v>
      </c>
      <c r="O55" s="188"/>
      <c r="P55" s="188"/>
      <c r="Q55" s="188"/>
      <c r="R55" s="188"/>
      <c r="S55" s="188"/>
      <c r="T55" s="188"/>
      <c r="U55" s="188"/>
      <c r="V55" s="188"/>
      <c r="W55" s="188"/>
      <c r="X55" s="188"/>
      <c r="Y55" s="188"/>
      <c r="Z55" s="188"/>
      <c r="AA55" s="188"/>
      <c r="AB55" s="188"/>
      <c r="AC55" s="188"/>
      <c r="AD55" s="188"/>
      <c r="AE55" s="188"/>
      <c r="AF55" s="188"/>
      <c r="AG55" s="188"/>
      <c r="AH55" s="188"/>
    </row>
    <row r="56" spans="1:34" x14ac:dyDescent="0.25">
      <c r="A56" s="94" t="s">
        <v>24</v>
      </c>
      <c r="B56" s="64" t="s">
        <v>52</v>
      </c>
      <c r="C56" s="64" t="s">
        <v>96</v>
      </c>
      <c r="D56" s="76" t="s">
        <v>63</v>
      </c>
      <c r="E56" s="75" t="s">
        <v>748</v>
      </c>
      <c r="F56" s="64" t="s">
        <v>146</v>
      </c>
      <c r="G56" s="45" t="s">
        <v>48</v>
      </c>
      <c r="H56" s="45" t="s">
        <v>225</v>
      </c>
      <c r="I56" s="90" t="s">
        <v>747</v>
      </c>
      <c r="J56" s="218">
        <v>44392</v>
      </c>
      <c r="K56" s="218">
        <v>44561</v>
      </c>
      <c r="L56" s="45">
        <v>5</v>
      </c>
      <c r="M56" s="99">
        <f t="shared" si="3"/>
        <v>137</v>
      </c>
      <c r="N56" s="99">
        <f>Tabla3[[#This Row],[NUMBER OF DAYS]]*Tabla3[[#This Row],[MAX. UNIT COST PER DAY]]</f>
        <v>685</v>
      </c>
      <c r="O56" s="188"/>
      <c r="P56" s="188"/>
      <c r="Q56" s="188"/>
      <c r="R56" s="188"/>
      <c r="S56" s="188"/>
      <c r="T56" s="188"/>
      <c r="U56" s="188"/>
      <c r="V56" s="188"/>
      <c r="W56" s="188"/>
      <c r="X56" s="188"/>
      <c r="Y56" s="188"/>
      <c r="Z56" s="188"/>
      <c r="AA56" s="188"/>
      <c r="AB56" s="188"/>
      <c r="AC56" s="188"/>
      <c r="AD56" s="188"/>
      <c r="AE56" s="188"/>
      <c r="AF56" s="188"/>
      <c r="AG56" s="188"/>
      <c r="AH56" s="188"/>
    </row>
    <row r="57" spans="1:34" s="89" customFormat="1" x14ac:dyDescent="0.25">
      <c r="B57" s="66"/>
      <c r="C57" s="66"/>
      <c r="D57" s="69"/>
      <c r="E57" s="91"/>
      <c r="J57" s="91"/>
      <c r="K57" s="91"/>
      <c r="N57" s="102">
        <f>Tabla3[[#This Row],[NUMBER OF DAYS]]*Tabla3[[#This Row],[MAX. UNIT COST PER DAY]]</f>
        <v>0</v>
      </c>
      <c r="O57"/>
      <c r="P57"/>
      <c r="Q57"/>
      <c r="R57"/>
      <c r="S57"/>
      <c r="T57"/>
      <c r="U57"/>
      <c r="V57"/>
      <c r="W57"/>
      <c r="X57"/>
      <c r="Y57"/>
      <c r="Z57"/>
      <c r="AA57"/>
      <c r="AB57"/>
      <c r="AC57"/>
      <c r="AD57"/>
      <c r="AE57"/>
      <c r="AF57"/>
      <c r="AG57"/>
      <c r="AH57"/>
    </row>
    <row r="58" spans="1:34" x14ac:dyDescent="0.25">
      <c r="A58" s="45" t="s">
        <v>74</v>
      </c>
      <c r="B58" s="64" t="s">
        <v>53</v>
      </c>
      <c r="C58" s="64" t="s">
        <v>97</v>
      </c>
      <c r="D58" s="76" t="s">
        <v>90</v>
      </c>
      <c r="E58" s="75" t="s">
        <v>251</v>
      </c>
      <c r="F58" s="45" t="s">
        <v>249</v>
      </c>
      <c r="G58" s="45" t="s">
        <v>47</v>
      </c>
      <c r="H58" s="45" t="s">
        <v>210</v>
      </c>
      <c r="I58" s="45" t="s">
        <v>248</v>
      </c>
      <c r="J58" s="78">
        <v>43891</v>
      </c>
      <c r="K58" s="78">
        <v>43921</v>
      </c>
      <c r="L58" s="45">
        <v>3</v>
      </c>
      <c r="M58" s="99">
        <f t="shared" ref="M58:M63" si="4">IF(AND(G58="Manager",D58="Spain"),164,IF(AND(G58="Teacher/Trainer/Researcher",D58="Spain"),137,IF(AND(G58="Technical Staff",D58="Spain"),102,IF(AND(G58="Administrative staff",D58="Spain"),78,IF(AND(G58="Manager",D58="Slovenia"),164,IF(AND(G58="Teacher/Trainer/Researcher",D58="Slovenia"),137,IF(AND(G58="Technical Staff",D58="Slovenia"),102,IF(AND(G58="Administrative staff",D58="Slovenia"),78,IF(AND(G58="Manager",D58="Italy"),280,IF(AND(G58="Teacher/Trainer/Researcher",D58="Italy"),214,IF(AND(G58="Technical Staff",D58="Italy"),162,IF(AND(G58="Administrative staff",D58="Italy"),131,IF(AND(G58="Manager",D58="Kazakhstan"),77,IF(AND(G58="Teacher/Trainer/Researcher",D58="Kazakhstan"),57,IF(AND(G58="Technical Staff",D58="Kazakhstan"),40,IF(AND(G58="Administrative staff",D58="Kazakhstan"),32,IF(AND(G58="Manager",D58="Turkmenistan"),47,IF(AND(G58="Teacher/Trainer/Researcher",D58="Turkmenistan"),33,IF(AND(G58="Technical Staff",D58="Turkmenistan"),22,IF(AND(G58="Administrative staff",D58="Turkmenistan"),17,IF(AND(G58="Manager",D58="Tajikistan"),47,IF(AND(G58="Teacher/Trainer/Researcher",D58="Tajikistan"),33,IF(AND(G58="Technical Staff",D58="Tajikistan"),22,IF(AND(G58="Administrative staff",D58="Tajikistan"),17,))))))))))))))))))))))))</f>
        <v>164</v>
      </c>
      <c r="N58" s="99">
        <f>Tabla3[[#This Row],[NUMBER OF DAYS]]*Tabla3[[#This Row],[MAX. UNIT COST PER DAY]]</f>
        <v>492</v>
      </c>
    </row>
    <row r="59" spans="1:34" x14ac:dyDescent="0.25">
      <c r="A59" s="147" t="s">
        <v>23</v>
      </c>
      <c r="B59" s="64" t="s">
        <v>53</v>
      </c>
      <c r="C59" s="64" t="s">
        <v>97</v>
      </c>
      <c r="D59" s="76" t="s">
        <v>90</v>
      </c>
      <c r="E59" s="149" t="s">
        <v>250</v>
      </c>
      <c r="F59" s="45" t="s">
        <v>249</v>
      </c>
      <c r="G59" s="148" t="s">
        <v>48</v>
      </c>
      <c r="H59" s="45" t="s">
        <v>211</v>
      </c>
      <c r="I59" s="148" t="s">
        <v>252</v>
      </c>
      <c r="J59" s="151">
        <v>43864</v>
      </c>
      <c r="K59" s="151">
        <v>43951</v>
      </c>
      <c r="L59" s="148">
        <v>9</v>
      </c>
      <c r="M59" s="99">
        <f t="shared" si="4"/>
        <v>137</v>
      </c>
      <c r="N59" s="150">
        <f>Tabla3[[#This Row],[NUMBER OF DAYS]]*Tabla3[[#This Row],[MAX. UNIT COST PER DAY]]</f>
        <v>1233</v>
      </c>
      <c r="O59" s="146"/>
      <c r="P59" s="146"/>
      <c r="Q59" s="146"/>
      <c r="R59" s="146"/>
      <c r="S59" s="146"/>
      <c r="T59" s="146"/>
      <c r="U59" s="146"/>
      <c r="V59" s="146"/>
      <c r="W59" s="146"/>
      <c r="X59" s="146"/>
      <c r="Y59" s="146"/>
      <c r="Z59" s="146"/>
      <c r="AA59" s="146"/>
      <c r="AB59" s="146"/>
      <c r="AC59" s="146"/>
      <c r="AD59" s="146"/>
      <c r="AE59" s="146"/>
      <c r="AF59" s="146"/>
      <c r="AG59" s="146"/>
      <c r="AH59" s="146"/>
    </row>
    <row r="60" spans="1:34" x14ac:dyDescent="0.25">
      <c r="A60" s="147" t="s">
        <v>24</v>
      </c>
      <c r="B60" s="64" t="s">
        <v>53</v>
      </c>
      <c r="C60" s="64" t="s">
        <v>97</v>
      </c>
      <c r="D60" s="76" t="s">
        <v>90</v>
      </c>
      <c r="E60" s="149" t="s">
        <v>250</v>
      </c>
      <c r="F60" s="45" t="s">
        <v>249</v>
      </c>
      <c r="G60" s="148" t="s">
        <v>48</v>
      </c>
      <c r="H60" s="45" t="s">
        <v>225</v>
      </c>
      <c r="I60" s="45" t="s">
        <v>591</v>
      </c>
      <c r="J60" s="151">
        <v>43864</v>
      </c>
      <c r="K60" s="151">
        <v>43951</v>
      </c>
      <c r="L60" s="148">
        <v>6</v>
      </c>
      <c r="M60" s="99">
        <f t="shared" si="4"/>
        <v>137</v>
      </c>
      <c r="N60" s="150">
        <f>Tabla3[[#This Row],[NUMBER OF DAYS]]*Tabla3[[#This Row],[MAX. UNIT COST PER DAY]]</f>
        <v>822</v>
      </c>
      <c r="O60" s="146"/>
      <c r="P60" s="146"/>
      <c r="Q60" s="146"/>
      <c r="R60" s="146"/>
      <c r="S60" s="146"/>
      <c r="T60" s="146"/>
      <c r="U60" s="146"/>
      <c r="V60" s="146"/>
      <c r="W60" s="146"/>
      <c r="X60" s="146"/>
      <c r="Y60" s="146"/>
      <c r="Z60" s="146"/>
      <c r="AA60" s="146"/>
      <c r="AB60" s="146"/>
      <c r="AC60" s="146"/>
      <c r="AD60" s="146"/>
      <c r="AE60" s="146"/>
      <c r="AF60" s="146"/>
      <c r="AG60" s="146"/>
      <c r="AH60" s="146"/>
    </row>
    <row r="61" spans="1:34" x14ac:dyDescent="0.25">
      <c r="A61" s="94" t="s">
        <v>74</v>
      </c>
      <c r="B61" s="64" t="s">
        <v>53</v>
      </c>
      <c r="C61" s="64" t="s">
        <v>97</v>
      </c>
      <c r="D61" s="76" t="s">
        <v>90</v>
      </c>
      <c r="E61" s="149" t="s">
        <v>342</v>
      </c>
      <c r="F61" s="45" t="s">
        <v>337</v>
      </c>
      <c r="G61" s="45" t="s">
        <v>229</v>
      </c>
      <c r="H61" s="45" t="s">
        <v>210</v>
      </c>
      <c r="I61" s="45" t="s">
        <v>338</v>
      </c>
      <c r="J61" s="78">
        <v>44027</v>
      </c>
      <c r="K61" s="78">
        <v>44210</v>
      </c>
      <c r="L61" s="45">
        <v>10</v>
      </c>
      <c r="M61" s="99">
        <f t="shared" si="4"/>
        <v>78</v>
      </c>
      <c r="N61" s="99">
        <f>Tabla3[[#This Row],[NUMBER OF DAYS]]*Tabla3[[#This Row],[MAX. UNIT COST PER DAY]]</f>
        <v>780</v>
      </c>
      <c r="O61" s="162"/>
      <c r="P61" s="152"/>
      <c r="Q61" s="152"/>
      <c r="R61" s="152"/>
      <c r="S61" s="152"/>
      <c r="T61" s="152"/>
      <c r="U61" s="152"/>
      <c r="V61" s="152"/>
      <c r="W61" s="152"/>
      <c r="X61" s="152"/>
      <c r="Y61" s="152"/>
      <c r="Z61" s="152"/>
      <c r="AA61" s="152"/>
      <c r="AB61" s="152"/>
      <c r="AC61" s="152"/>
      <c r="AD61" s="152"/>
      <c r="AE61" s="152"/>
      <c r="AF61" s="152"/>
      <c r="AG61" s="152"/>
      <c r="AH61" s="152"/>
    </row>
    <row r="62" spans="1:34" x14ac:dyDescent="0.25">
      <c r="A62" s="94" t="s">
        <v>74</v>
      </c>
      <c r="B62" s="64" t="s">
        <v>53</v>
      </c>
      <c r="C62" s="64" t="s">
        <v>97</v>
      </c>
      <c r="D62" s="76" t="s">
        <v>90</v>
      </c>
      <c r="E62" s="149" t="s">
        <v>343</v>
      </c>
      <c r="F62" s="45" t="s">
        <v>339</v>
      </c>
      <c r="G62" s="45" t="s">
        <v>47</v>
      </c>
      <c r="H62" s="45" t="s">
        <v>210</v>
      </c>
      <c r="I62" s="45" t="s">
        <v>340</v>
      </c>
      <c r="J62" s="78">
        <v>44027</v>
      </c>
      <c r="K62" s="78">
        <v>44210</v>
      </c>
      <c r="L62" s="45">
        <v>8</v>
      </c>
      <c r="M62" s="99">
        <f t="shared" si="4"/>
        <v>164</v>
      </c>
      <c r="N62" s="99">
        <f>Tabla3[[#This Row],[NUMBER OF DAYS]]*Tabla3[[#This Row],[MAX. UNIT COST PER DAY]]</f>
        <v>1312</v>
      </c>
      <c r="O62" s="183"/>
      <c r="P62" s="152"/>
      <c r="Q62" s="152"/>
      <c r="R62" s="152"/>
      <c r="S62" s="152"/>
      <c r="T62" s="152"/>
      <c r="U62" s="152"/>
      <c r="V62" s="152"/>
      <c r="W62" s="152"/>
      <c r="X62" s="152"/>
      <c r="Y62" s="152"/>
      <c r="Z62" s="152"/>
      <c r="AA62" s="152"/>
      <c r="AB62" s="152"/>
      <c r="AC62" s="152"/>
      <c r="AD62" s="152"/>
      <c r="AE62" s="152"/>
      <c r="AF62" s="152"/>
      <c r="AG62" s="152"/>
      <c r="AH62" s="152"/>
    </row>
    <row r="63" spans="1:34" x14ac:dyDescent="0.25">
      <c r="A63" s="94" t="s">
        <v>74</v>
      </c>
      <c r="B63" s="64" t="s">
        <v>53</v>
      </c>
      <c r="C63" s="64" t="s">
        <v>97</v>
      </c>
      <c r="D63" s="76" t="s">
        <v>90</v>
      </c>
      <c r="E63" s="149" t="s">
        <v>344</v>
      </c>
      <c r="F63" s="45" t="s">
        <v>249</v>
      </c>
      <c r="G63" s="45" t="s">
        <v>47</v>
      </c>
      <c r="H63" s="45" t="s">
        <v>210</v>
      </c>
      <c r="I63" s="45" t="s">
        <v>341</v>
      </c>
      <c r="J63" s="78">
        <v>44027</v>
      </c>
      <c r="K63" s="78">
        <v>44210</v>
      </c>
      <c r="L63" s="45">
        <v>4</v>
      </c>
      <c r="M63" s="99">
        <f t="shared" si="4"/>
        <v>164</v>
      </c>
      <c r="N63" s="99">
        <f>Tabla3[[#This Row],[NUMBER OF DAYS]]*Tabla3[[#This Row],[MAX. UNIT COST PER DAY]]</f>
        <v>656</v>
      </c>
      <c r="O63" s="162"/>
      <c r="P63" s="152"/>
      <c r="Q63" s="152"/>
      <c r="R63" s="152"/>
      <c r="S63" s="152"/>
      <c r="T63" s="152"/>
      <c r="U63" s="152"/>
      <c r="V63" s="152"/>
      <c r="W63" s="152"/>
      <c r="X63" s="152"/>
      <c r="Y63" s="152"/>
      <c r="Z63" s="152"/>
      <c r="AA63" s="152"/>
      <c r="AB63" s="152"/>
      <c r="AC63" s="152"/>
      <c r="AD63" s="152"/>
      <c r="AE63" s="152"/>
      <c r="AF63" s="152"/>
      <c r="AG63" s="152"/>
      <c r="AH63" s="152"/>
    </row>
    <row r="64" spans="1:34" x14ac:dyDescent="0.25">
      <c r="A64" s="194" t="s">
        <v>74</v>
      </c>
      <c r="B64" s="64" t="s">
        <v>53</v>
      </c>
      <c r="C64" s="64" t="s">
        <v>97</v>
      </c>
      <c r="D64" s="76" t="s">
        <v>90</v>
      </c>
      <c r="E64" s="149" t="s">
        <v>512</v>
      </c>
      <c r="F64" s="45" t="s">
        <v>337</v>
      </c>
      <c r="G64" s="192" t="s">
        <v>229</v>
      </c>
      <c r="H64" s="45" t="s">
        <v>210</v>
      </c>
      <c r="I64" s="45" t="s">
        <v>338</v>
      </c>
      <c r="J64" s="196">
        <v>44211</v>
      </c>
      <c r="K64" s="196">
        <v>44391</v>
      </c>
      <c r="L64" s="192">
        <v>14</v>
      </c>
      <c r="M64" s="198">
        <f t="shared" ref="M64:M68" si="5">IF(AND(G64="Manager",D64="Spain"),164,IF(AND(G64="Teacher/Trainer/Researcher",D64="Spain"),137,IF(AND(G64="Technical Staff",D64="Spain"),164,IF(AND(G64="Administrative staff",D64="Spain"),164,IF(AND(G64="Manager",D64="Slovenia"),164,IF(AND(G64="Teacher/Trainer/Researcher",D64="Slovenia"),137,IF(AND(G64="Technical Staff",D64="Slovenia"),102,IF(AND(G64="Administrative staff",D64="Slovenia"),78,IF(AND(G64="Manager",D64="Italy"),280,IF(AND(G64="Teacher/Trainer/Researcher",D64="Italy"),214,IF(AND(G64="Technical Staff",D64="Italy"),162,IF(AND(G64="Administrative staff",D64="Italy"),131,IF(AND(G64="Manager",D64="Kazakstan"),77,IF(AND(G64="Teacher/Trainer/Researcher",D64="Kazakstan"),57,IF(AND(G64="Technical Staff",D64="Kazakstan"),40,IF(AND(G64="Administrative staff",D64="Kazakstan"),32,IF(AND(G64="Manager",D64="Turkmenistan"),47,IF(AND(G64="Teacher/Trainer/Researcher",D64="Turkmenistan"),33,IF(AND(G64="Technical Staff",D64="Turkmenistan"),22,IF(AND(G64="Administrative staff",D64="Turkmenistan"),17,IF(AND(G64="Manager",D64="Tajikistan"),47,IF(AND(G64="Teacher/Trainer/Researcher",D64="Tajikistan"),33,IF(AND(G64="Technical Staff",D64="Tajikistan"),22,IF(AND(G64="Administrative staff",D64="Tajikistan"),17,))))))))))))))))))))))))</f>
        <v>78</v>
      </c>
      <c r="N64" s="198">
        <f>Tabla3[[#This Row],[NUMBER OF DAYS]]*Tabla3[[#This Row],[MAX. UNIT COST PER DAY]]</f>
        <v>1092</v>
      </c>
      <c r="O64" s="162"/>
      <c r="P64" s="188"/>
      <c r="Q64" s="188"/>
      <c r="R64" s="188"/>
      <c r="S64" s="188"/>
      <c r="T64" s="188"/>
      <c r="U64" s="188"/>
      <c r="V64" s="188"/>
      <c r="W64" s="188"/>
      <c r="X64" s="188"/>
      <c r="Y64" s="188"/>
      <c r="Z64" s="188"/>
      <c r="AA64" s="188"/>
      <c r="AB64" s="188"/>
      <c r="AC64" s="188"/>
      <c r="AD64" s="188"/>
      <c r="AE64" s="188"/>
      <c r="AF64" s="188"/>
      <c r="AG64" s="188"/>
      <c r="AH64" s="188"/>
    </row>
    <row r="65" spans="1:34" x14ac:dyDescent="0.25">
      <c r="A65" s="194" t="s">
        <v>74</v>
      </c>
      <c r="B65" s="64" t="s">
        <v>53</v>
      </c>
      <c r="C65" s="64" t="s">
        <v>97</v>
      </c>
      <c r="D65" s="76" t="s">
        <v>90</v>
      </c>
      <c r="E65" s="149" t="s">
        <v>513</v>
      </c>
      <c r="F65" s="45" t="s">
        <v>337</v>
      </c>
      <c r="G65" s="192" t="s">
        <v>47</v>
      </c>
      <c r="H65" s="45" t="s">
        <v>210</v>
      </c>
      <c r="I65" s="192" t="s">
        <v>514</v>
      </c>
      <c r="J65" s="196">
        <v>44211</v>
      </c>
      <c r="K65" s="196">
        <v>44391</v>
      </c>
      <c r="L65" s="192">
        <v>2</v>
      </c>
      <c r="M65" s="198">
        <f t="shared" si="5"/>
        <v>164</v>
      </c>
      <c r="N65" s="198">
        <f>Tabla3[[#This Row],[NUMBER OF DAYS]]*Tabla3[[#This Row],[MAX. UNIT COST PER DAY]]</f>
        <v>328</v>
      </c>
      <c r="O65" s="162"/>
      <c r="P65" s="188"/>
      <c r="Q65" s="188"/>
      <c r="R65" s="188"/>
      <c r="S65" s="188"/>
      <c r="T65" s="188"/>
      <c r="U65" s="188"/>
      <c r="V65" s="188"/>
      <c r="W65" s="188"/>
      <c r="X65" s="188"/>
      <c r="Y65" s="188"/>
      <c r="Z65" s="188"/>
      <c r="AA65" s="188"/>
      <c r="AB65" s="188"/>
      <c r="AC65" s="188"/>
      <c r="AD65" s="188"/>
      <c r="AE65" s="188"/>
      <c r="AF65" s="188"/>
      <c r="AG65" s="188"/>
      <c r="AH65" s="188"/>
    </row>
    <row r="66" spans="1:34" x14ac:dyDescent="0.25">
      <c r="A66" s="194" t="s">
        <v>74</v>
      </c>
      <c r="B66" s="64" t="s">
        <v>53</v>
      </c>
      <c r="C66" s="64" t="s">
        <v>97</v>
      </c>
      <c r="D66" s="76" t="s">
        <v>90</v>
      </c>
      <c r="E66" s="149" t="s">
        <v>516</v>
      </c>
      <c r="F66" s="192" t="s">
        <v>249</v>
      </c>
      <c r="G66" s="192" t="s">
        <v>47</v>
      </c>
      <c r="H66" s="45" t="s">
        <v>210</v>
      </c>
      <c r="I66" s="45" t="s">
        <v>515</v>
      </c>
      <c r="J66" s="196">
        <v>44211</v>
      </c>
      <c r="K66" s="196">
        <v>44391</v>
      </c>
      <c r="L66" s="192">
        <v>9</v>
      </c>
      <c r="M66" s="198">
        <f t="shared" si="5"/>
        <v>164</v>
      </c>
      <c r="N66" s="198">
        <f>Tabla3[[#This Row],[NUMBER OF DAYS]]*Tabla3[[#This Row],[MAX. UNIT COST PER DAY]]</f>
        <v>1476</v>
      </c>
      <c r="O66" s="162"/>
      <c r="P66" s="188"/>
      <c r="Q66" s="188"/>
      <c r="R66" s="188"/>
      <c r="S66" s="188"/>
      <c r="T66" s="188"/>
      <c r="U66" s="188"/>
      <c r="V66" s="188"/>
      <c r="W66" s="188"/>
      <c r="X66" s="188"/>
      <c r="Y66" s="188"/>
      <c r="Z66" s="188"/>
      <c r="AA66" s="188"/>
      <c r="AB66" s="188"/>
      <c r="AC66" s="188"/>
      <c r="AD66" s="188"/>
      <c r="AE66" s="188"/>
      <c r="AF66" s="188"/>
      <c r="AG66" s="188"/>
      <c r="AH66" s="188"/>
    </row>
    <row r="67" spans="1:34" x14ac:dyDescent="0.25">
      <c r="A67" s="194" t="s">
        <v>74</v>
      </c>
      <c r="B67" s="64" t="s">
        <v>53</v>
      </c>
      <c r="C67" s="64" t="s">
        <v>97</v>
      </c>
      <c r="D67" s="76" t="s">
        <v>90</v>
      </c>
      <c r="E67" s="149" t="s">
        <v>517</v>
      </c>
      <c r="F67" s="192" t="s">
        <v>339</v>
      </c>
      <c r="G67" s="192" t="s">
        <v>47</v>
      </c>
      <c r="H67" s="45" t="s">
        <v>210</v>
      </c>
      <c r="I67" s="45" t="s">
        <v>518</v>
      </c>
      <c r="J67" s="196">
        <v>44211</v>
      </c>
      <c r="K67" s="196">
        <v>44391</v>
      </c>
      <c r="L67" s="192">
        <v>9</v>
      </c>
      <c r="M67" s="198">
        <f t="shared" si="5"/>
        <v>164</v>
      </c>
      <c r="N67" s="198">
        <f>Tabla3[[#This Row],[NUMBER OF DAYS]]*Tabla3[[#This Row],[MAX. UNIT COST PER DAY]]</f>
        <v>1476</v>
      </c>
      <c r="O67" s="162"/>
      <c r="P67" s="188"/>
      <c r="Q67" s="188"/>
      <c r="R67" s="188"/>
      <c r="S67" s="188"/>
      <c r="T67" s="188"/>
      <c r="U67" s="188"/>
      <c r="V67" s="188"/>
      <c r="W67" s="188"/>
      <c r="X67" s="188"/>
      <c r="Y67" s="188"/>
      <c r="Z67" s="188"/>
      <c r="AA67" s="188"/>
      <c r="AB67" s="188"/>
      <c r="AC67" s="188"/>
      <c r="AD67" s="188"/>
      <c r="AE67" s="188"/>
      <c r="AF67" s="188"/>
      <c r="AG67" s="188"/>
      <c r="AH67" s="188"/>
    </row>
    <row r="68" spans="1:34" x14ac:dyDescent="0.25">
      <c r="A68" s="194" t="s">
        <v>23</v>
      </c>
      <c r="B68" s="64" t="s">
        <v>53</v>
      </c>
      <c r="C68" s="64" t="s">
        <v>97</v>
      </c>
      <c r="D68" s="76" t="s">
        <v>90</v>
      </c>
      <c r="E68" s="149" t="s">
        <v>519</v>
      </c>
      <c r="F68" s="192" t="s">
        <v>249</v>
      </c>
      <c r="G68" s="192" t="s">
        <v>48</v>
      </c>
      <c r="H68" s="45" t="s">
        <v>211</v>
      </c>
      <c r="I68" s="45" t="s">
        <v>520</v>
      </c>
      <c r="J68" s="196">
        <v>44211</v>
      </c>
      <c r="K68" s="196">
        <v>44391</v>
      </c>
      <c r="L68" s="192">
        <v>6</v>
      </c>
      <c r="M68" s="198">
        <f t="shared" si="5"/>
        <v>137</v>
      </c>
      <c r="N68" s="198">
        <f>Tabla3[[#This Row],[NUMBER OF DAYS]]*Tabla3[[#This Row],[MAX. UNIT COST PER DAY]]</f>
        <v>822</v>
      </c>
      <c r="O68" s="162"/>
      <c r="P68" s="188"/>
      <c r="Q68" s="188"/>
      <c r="R68" s="188"/>
      <c r="S68" s="188"/>
      <c r="T68" s="188"/>
      <c r="U68" s="188"/>
      <c r="V68" s="188"/>
      <c r="W68" s="188"/>
      <c r="X68" s="188"/>
      <c r="Y68" s="188"/>
      <c r="Z68" s="188"/>
      <c r="AA68" s="188"/>
      <c r="AB68" s="188"/>
      <c r="AC68" s="188"/>
      <c r="AD68" s="188"/>
      <c r="AE68" s="188"/>
      <c r="AF68" s="188"/>
      <c r="AG68" s="188"/>
      <c r="AH68" s="188"/>
    </row>
    <row r="69" spans="1:34" x14ac:dyDescent="0.25">
      <c r="A69" s="194" t="s">
        <v>24</v>
      </c>
      <c r="B69" s="64" t="s">
        <v>53</v>
      </c>
      <c r="C69" s="64" t="s">
        <v>97</v>
      </c>
      <c r="D69" s="76" t="s">
        <v>90</v>
      </c>
      <c r="E69" s="149" t="s">
        <v>519</v>
      </c>
      <c r="F69" s="192" t="s">
        <v>249</v>
      </c>
      <c r="G69" s="192" t="s">
        <v>48</v>
      </c>
      <c r="H69" s="45" t="s">
        <v>225</v>
      </c>
      <c r="I69" s="45" t="s">
        <v>592</v>
      </c>
      <c r="J69" s="196">
        <v>44211</v>
      </c>
      <c r="K69" s="196">
        <v>44391</v>
      </c>
      <c r="L69" s="192">
        <v>45</v>
      </c>
      <c r="M69" s="198">
        <f t="shared" ref="M69:M74" si="6">IF(AND(G69="Manager",D69="Spain"),164,IF(AND(G69="Teacher/Trainer/Researcher",D69="Spain"),137,IF(AND(G69="Technical Staff",D69="Spain"),164,IF(AND(G69="Administrative staff",D69="Spain"),164,IF(AND(G69="Manager",D69="Slovenia"),164,IF(AND(G69="Teacher/Trainer/Researcher",D69="Slovenia"),137,IF(AND(G69="Technical Staff",D69="Slovenia"),102,IF(AND(G69="Administrative staff",D69="Slovenia"),78,IF(AND(G69="Manager",D69="Italy"),280,IF(AND(G69="Teacher/Trainer/Researcher",D69="Italy"),214,IF(AND(G69="Technical Staff",D69="Italy"),162,IF(AND(G69="Administrative staff",D69="Italy"),131,IF(AND(G69="Manager",D69="Kazakstan"),77,IF(AND(G69="Teacher/Trainer/Researcher",D69="Kazakstan"),57,IF(AND(G69="Technical Staff",D69="Kazakstan"),40,IF(AND(G69="Administrative staff",D69="Kazakstan"),32,IF(AND(G69="Manager",D69="Turkmenistan"),47,IF(AND(G69="Teacher/Trainer/Researcher",D69="Turkmenistan"),33,IF(AND(G69="Technical Staff",D69="Turkmenistan"),22,IF(AND(G69="Administrative staff",D69="Turkmenistan"),17,IF(AND(G69="Manager",D69="Tajikistan"),47,IF(AND(G69="Teacher/Trainer/Researcher",D69="Tajikistan"),33,IF(AND(G69="Technical Staff",D69="Tajikistan"),22,IF(AND(G69="Administrative staff",D69="Tajikistan"),17,))))))))))))))))))))))))</f>
        <v>137</v>
      </c>
      <c r="N69" s="198">
        <f>Tabla3[[#This Row],[NUMBER OF DAYS]]*Tabla3[[#This Row],[MAX. UNIT COST PER DAY]]</f>
        <v>6165</v>
      </c>
      <c r="O69" s="162"/>
      <c r="P69" s="188"/>
      <c r="Q69" s="188"/>
      <c r="R69" s="188"/>
      <c r="S69" s="188"/>
      <c r="T69" s="188"/>
      <c r="U69" s="188"/>
      <c r="V69" s="188"/>
      <c r="W69" s="188"/>
      <c r="X69" s="188"/>
      <c r="Y69" s="188"/>
      <c r="Z69" s="188"/>
      <c r="AA69" s="188"/>
      <c r="AB69" s="188"/>
      <c r="AC69" s="188"/>
      <c r="AD69" s="188"/>
      <c r="AE69" s="188"/>
      <c r="AF69" s="188"/>
      <c r="AG69" s="188"/>
      <c r="AH69" s="188"/>
    </row>
    <row r="70" spans="1:34" x14ac:dyDescent="0.25">
      <c r="A70" s="207" t="s">
        <v>72</v>
      </c>
      <c r="B70" s="64" t="s">
        <v>53</v>
      </c>
      <c r="C70" s="64" t="s">
        <v>97</v>
      </c>
      <c r="D70" s="76" t="s">
        <v>90</v>
      </c>
      <c r="E70" s="149" t="s">
        <v>683</v>
      </c>
      <c r="F70" s="45" t="s">
        <v>337</v>
      </c>
      <c r="G70" s="208" t="s">
        <v>229</v>
      </c>
      <c r="H70" s="96" t="s">
        <v>212</v>
      </c>
      <c r="I70" s="96" t="s">
        <v>722</v>
      </c>
      <c r="J70" s="218">
        <v>44392</v>
      </c>
      <c r="K70" s="218">
        <v>44561</v>
      </c>
      <c r="L70" s="208">
        <v>15</v>
      </c>
      <c r="M70" s="198">
        <f t="shared" si="6"/>
        <v>78</v>
      </c>
      <c r="N70" s="198">
        <f>Tabla3[[#This Row],[NUMBER OF DAYS]]*Tabla3[[#This Row],[MAX. UNIT COST PER DAY]]</f>
        <v>1170</v>
      </c>
      <c r="O70" s="162"/>
      <c r="P70" s="188"/>
      <c r="Q70" s="188"/>
      <c r="R70" s="188"/>
      <c r="S70" s="188"/>
      <c r="T70" s="188"/>
      <c r="U70" s="188"/>
      <c r="V70" s="188"/>
      <c r="W70" s="188"/>
      <c r="X70" s="188"/>
      <c r="Y70" s="188"/>
      <c r="Z70" s="188"/>
      <c r="AA70" s="188"/>
      <c r="AB70" s="188"/>
      <c r="AC70" s="188"/>
      <c r="AD70" s="188"/>
      <c r="AE70" s="188"/>
      <c r="AF70" s="188"/>
      <c r="AG70" s="188"/>
      <c r="AH70" s="188"/>
    </row>
    <row r="71" spans="1:34" x14ac:dyDescent="0.25">
      <c r="A71" s="207" t="s">
        <v>72</v>
      </c>
      <c r="B71" s="64" t="s">
        <v>53</v>
      </c>
      <c r="C71" s="64" t="s">
        <v>97</v>
      </c>
      <c r="D71" s="76" t="s">
        <v>90</v>
      </c>
      <c r="E71" s="75" t="s">
        <v>684</v>
      </c>
      <c r="F71" s="45" t="s">
        <v>337</v>
      </c>
      <c r="G71" s="208" t="s">
        <v>47</v>
      </c>
      <c r="H71" s="96" t="s">
        <v>212</v>
      </c>
      <c r="I71" s="96" t="s">
        <v>723</v>
      </c>
      <c r="J71" s="218">
        <v>44392</v>
      </c>
      <c r="K71" s="218">
        <v>44561</v>
      </c>
      <c r="L71" s="208">
        <v>3</v>
      </c>
      <c r="M71" s="198">
        <f t="shared" si="6"/>
        <v>164</v>
      </c>
      <c r="N71" s="198">
        <f>Tabla3[[#This Row],[NUMBER OF DAYS]]*Tabla3[[#This Row],[MAX. UNIT COST PER DAY]]</f>
        <v>492</v>
      </c>
      <c r="O71" s="162"/>
      <c r="P71" s="188"/>
      <c r="Q71" s="188"/>
      <c r="R71" s="188"/>
      <c r="S71" s="188"/>
      <c r="T71" s="188"/>
      <c r="U71" s="188"/>
      <c r="V71" s="188"/>
      <c r="W71" s="188"/>
      <c r="X71" s="188"/>
      <c r="Y71" s="188"/>
      <c r="Z71" s="188"/>
      <c r="AA71" s="188"/>
      <c r="AB71" s="188"/>
      <c r="AC71" s="188"/>
      <c r="AD71" s="188"/>
      <c r="AE71" s="188"/>
      <c r="AF71" s="188"/>
      <c r="AG71" s="188"/>
      <c r="AH71" s="188"/>
    </row>
    <row r="72" spans="1:34" x14ac:dyDescent="0.25">
      <c r="A72" s="207" t="s">
        <v>74</v>
      </c>
      <c r="B72" s="64" t="s">
        <v>53</v>
      </c>
      <c r="C72" s="64" t="s">
        <v>97</v>
      </c>
      <c r="D72" s="76" t="s">
        <v>90</v>
      </c>
      <c r="E72" s="75" t="s">
        <v>685</v>
      </c>
      <c r="F72" s="192" t="s">
        <v>249</v>
      </c>
      <c r="G72" s="192" t="s">
        <v>47</v>
      </c>
      <c r="H72" s="96" t="s">
        <v>210</v>
      </c>
      <c r="I72" s="96" t="s">
        <v>724</v>
      </c>
      <c r="J72" s="218">
        <v>44392</v>
      </c>
      <c r="K72" s="218">
        <v>44561</v>
      </c>
      <c r="L72" s="208">
        <v>9</v>
      </c>
      <c r="M72" s="198">
        <f t="shared" si="6"/>
        <v>164</v>
      </c>
      <c r="N72" s="198">
        <f>Tabla3[[#This Row],[NUMBER OF DAYS]]*Tabla3[[#This Row],[MAX. UNIT COST PER DAY]]</f>
        <v>1476</v>
      </c>
      <c r="O72" s="162"/>
      <c r="P72" s="188"/>
      <c r="Q72" s="188"/>
      <c r="R72" s="188"/>
      <c r="S72" s="188"/>
      <c r="T72" s="188"/>
      <c r="U72" s="188"/>
      <c r="V72" s="188"/>
      <c r="W72" s="188"/>
      <c r="X72" s="188"/>
      <c r="Y72" s="188"/>
      <c r="Z72" s="188"/>
      <c r="AA72" s="188"/>
      <c r="AB72" s="188"/>
      <c r="AC72" s="188"/>
      <c r="AD72" s="188"/>
      <c r="AE72" s="188"/>
      <c r="AF72" s="188"/>
      <c r="AG72" s="188"/>
      <c r="AH72" s="188"/>
    </row>
    <row r="73" spans="1:34" x14ac:dyDescent="0.25">
      <c r="A73" s="207" t="s">
        <v>72</v>
      </c>
      <c r="B73" s="64" t="s">
        <v>53</v>
      </c>
      <c r="C73" s="64" t="s">
        <v>97</v>
      </c>
      <c r="D73" s="76" t="s">
        <v>90</v>
      </c>
      <c r="E73" s="75" t="s">
        <v>686</v>
      </c>
      <c r="F73" s="45" t="s">
        <v>339</v>
      </c>
      <c r="G73" s="45" t="s">
        <v>47</v>
      </c>
      <c r="H73" s="96" t="s">
        <v>212</v>
      </c>
      <c r="I73" s="96" t="s">
        <v>725</v>
      </c>
      <c r="J73" s="218">
        <v>44392</v>
      </c>
      <c r="K73" s="218">
        <v>44561</v>
      </c>
      <c r="L73" s="208">
        <v>9</v>
      </c>
      <c r="M73" s="198">
        <f t="shared" si="6"/>
        <v>164</v>
      </c>
      <c r="N73" s="198">
        <f>Tabla3[[#This Row],[NUMBER OF DAYS]]*Tabla3[[#This Row],[MAX. UNIT COST PER DAY]]</f>
        <v>1476</v>
      </c>
      <c r="O73" s="162"/>
      <c r="P73" s="188"/>
      <c r="Q73" s="188"/>
      <c r="R73" s="188"/>
      <c r="S73" s="188"/>
      <c r="T73" s="188"/>
      <c r="U73" s="188"/>
      <c r="V73" s="188"/>
      <c r="W73" s="188"/>
      <c r="X73" s="188"/>
      <c r="Y73" s="188"/>
      <c r="Z73" s="188"/>
      <c r="AA73" s="188"/>
      <c r="AB73" s="188"/>
      <c r="AC73" s="188"/>
      <c r="AD73" s="188"/>
      <c r="AE73" s="188"/>
      <c r="AF73" s="188"/>
      <c r="AG73" s="188"/>
      <c r="AH73" s="188"/>
    </row>
    <row r="74" spans="1:34" x14ac:dyDescent="0.25">
      <c r="A74" s="94" t="s">
        <v>24</v>
      </c>
      <c r="B74" s="64" t="s">
        <v>53</v>
      </c>
      <c r="C74" s="64" t="s">
        <v>97</v>
      </c>
      <c r="D74" s="76" t="s">
        <v>90</v>
      </c>
      <c r="E74" s="75" t="s">
        <v>687</v>
      </c>
      <c r="F74" s="192" t="s">
        <v>249</v>
      </c>
      <c r="G74" s="192" t="s">
        <v>48</v>
      </c>
      <c r="H74" s="96" t="s">
        <v>225</v>
      </c>
      <c r="I74" s="96" t="s">
        <v>726</v>
      </c>
      <c r="J74" s="218">
        <v>44392</v>
      </c>
      <c r="K74" s="218">
        <v>44561</v>
      </c>
      <c r="L74" s="208">
        <v>38</v>
      </c>
      <c r="M74" s="198">
        <f t="shared" si="6"/>
        <v>137</v>
      </c>
      <c r="N74" s="198">
        <f>Tabla3[[#This Row],[NUMBER OF DAYS]]*Tabla3[[#This Row],[MAX. UNIT COST PER DAY]]</f>
        <v>5206</v>
      </c>
      <c r="O74" s="162"/>
      <c r="P74" s="188"/>
      <c r="Q74" s="188"/>
      <c r="R74" s="188"/>
      <c r="S74" s="188"/>
      <c r="T74" s="188"/>
      <c r="U74" s="188"/>
      <c r="V74" s="188"/>
      <c r="W74" s="188"/>
      <c r="X74" s="188"/>
      <c r="Y74" s="188"/>
      <c r="Z74" s="188"/>
      <c r="AA74" s="188"/>
      <c r="AB74" s="188"/>
      <c r="AC74" s="188"/>
      <c r="AD74" s="188"/>
      <c r="AE74" s="188"/>
      <c r="AF74" s="188"/>
      <c r="AG74" s="188"/>
      <c r="AH74" s="188"/>
    </row>
    <row r="75" spans="1:34" s="89" customFormat="1" x14ac:dyDescent="0.25">
      <c r="B75" s="66"/>
      <c r="C75" s="66"/>
      <c r="D75" s="69"/>
      <c r="E75" s="91"/>
      <c r="J75" s="91"/>
      <c r="K75" s="91"/>
      <c r="N75" s="102">
        <f>Tabla3[[#This Row],[NUMBER OF DAYS]]*Tabla3[[#This Row],[MAX. UNIT COST PER DAY]]</f>
        <v>0</v>
      </c>
      <c r="O75" s="162"/>
      <c r="P75"/>
      <c r="Q75"/>
      <c r="R75"/>
      <c r="S75"/>
      <c r="T75"/>
      <c r="U75"/>
      <c r="V75"/>
      <c r="W75"/>
      <c r="X75"/>
      <c r="Y75"/>
      <c r="Z75"/>
      <c r="AA75"/>
      <c r="AB75"/>
      <c r="AC75"/>
      <c r="AD75"/>
      <c r="AE75"/>
      <c r="AF75"/>
      <c r="AG75"/>
      <c r="AH75"/>
    </row>
    <row r="76" spans="1:34" x14ac:dyDescent="0.25">
      <c r="A76" s="45" t="s">
        <v>74</v>
      </c>
      <c r="B76" s="64" t="s">
        <v>54</v>
      </c>
      <c r="C76" s="64" t="s">
        <v>99</v>
      </c>
      <c r="D76" s="76" t="s">
        <v>91</v>
      </c>
      <c r="E76" s="75" t="s">
        <v>189</v>
      </c>
      <c r="F76" s="45" t="s">
        <v>191</v>
      </c>
      <c r="G76" s="45" t="s">
        <v>47</v>
      </c>
      <c r="H76" s="45" t="s">
        <v>210</v>
      </c>
      <c r="I76" s="45" t="s">
        <v>192</v>
      </c>
      <c r="J76" s="78">
        <v>43845</v>
      </c>
      <c r="K76" s="78">
        <v>44026</v>
      </c>
      <c r="L76" s="45">
        <v>9</v>
      </c>
      <c r="M76" s="99">
        <f t="shared" ref="M76:M93" si="7">IF(AND(G76="Manager",D76="Spain"),164,IF(AND(G76="Teacher/Trainer/Researcher",D76="Spain"),137,IF(AND(G76="Technical Staff",D76="Spain"),102,IF(AND(G76="Administrative staff",D76="Spain"),78,IF(AND(G76="Manager",D76="Slovenia"),164,IF(AND(G76="Teacher/Trainer/Researcher",D76="Slovenia"),137,IF(AND(G76="Technical Staff",D76="Slovenia"),102,IF(AND(G76="Administrative staff",D76="Slovenia"),78,IF(AND(G76="Manager",D76="Italy"),280,IF(AND(G76="Teacher/Trainer/Researcher",D76="Italy"),214,IF(AND(G76="Technical Staff",D76="Italy"),162,IF(AND(G76="Administrative staff",D76="Italy"),131,IF(AND(G76="Manager",D76="Kazakhstan"),77,IF(AND(G76="Teacher/Trainer/Researcher",D76="Kazakhstan"),57,IF(AND(G76="Technical Staff",D76="Kazakhstan"),40,IF(AND(G76="Administrative staff",D76="Kazakhstan"),32,IF(AND(G76="Manager",D76="Turkmenistan"),47,IF(AND(G76="Teacher/Trainer/Researcher",D76="Turkmenistan"),33,IF(AND(G76="Technical Staff",D76="Turkmenistan"),22,IF(AND(G76="Administrative staff",D76="Turkmenistan"),17,IF(AND(G76="Manager",D76="Tajikistan"),47,IF(AND(G76="Teacher/Trainer/Researcher",D76="Tajikistan"),33,IF(AND(G76="Technical Staff",D76="Tajikistan"),22,IF(AND(G76="Administrative staff",D76="Tajikistan"),17,))))))))))))))))))))))))</f>
        <v>280</v>
      </c>
      <c r="N76" s="99">
        <f>Tabla3[[#This Row],[NUMBER OF DAYS]]*Tabla3[[#This Row],[MAX. UNIT COST PER DAY]]</f>
        <v>2520</v>
      </c>
      <c r="O76" s="162"/>
    </row>
    <row r="77" spans="1:34" x14ac:dyDescent="0.25">
      <c r="A77" s="94" t="s">
        <v>23</v>
      </c>
      <c r="B77" s="64" t="s">
        <v>54</v>
      </c>
      <c r="C77" s="64" t="s">
        <v>99</v>
      </c>
      <c r="D77" s="76" t="s">
        <v>91</v>
      </c>
      <c r="E77" s="75" t="s">
        <v>189</v>
      </c>
      <c r="F77" s="45" t="s">
        <v>191</v>
      </c>
      <c r="G77" s="45" t="s">
        <v>47</v>
      </c>
      <c r="H77" s="45" t="s">
        <v>211</v>
      </c>
      <c r="I77" s="45" t="s">
        <v>192</v>
      </c>
      <c r="J77" s="78">
        <v>43845</v>
      </c>
      <c r="K77" s="78">
        <v>44026</v>
      </c>
      <c r="L77" s="45">
        <v>5</v>
      </c>
      <c r="M77" s="99">
        <f t="shared" si="7"/>
        <v>280</v>
      </c>
      <c r="N77" s="99">
        <f>Tabla3[[#This Row],[NUMBER OF DAYS]]*Tabla3[[#This Row],[MAX. UNIT COST PER DAY]]</f>
        <v>1400</v>
      </c>
      <c r="O77" s="162"/>
    </row>
    <row r="78" spans="1:34" x14ac:dyDescent="0.25">
      <c r="A78" s="94" t="s">
        <v>72</v>
      </c>
      <c r="B78" s="64" t="s">
        <v>54</v>
      </c>
      <c r="C78" s="64" t="s">
        <v>99</v>
      </c>
      <c r="D78" s="76" t="s">
        <v>91</v>
      </c>
      <c r="E78" s="75" t="s">
        <v>189</v>
      </c>
      <c r="F78" s="45" t="s">
        <v>191</v>
      </c>
      <c r="G78" s="45" t="s">
        <v>47</v>
      </c>
      <c r="H78" s="45" t="s">
        <v>212</v>
      </c>
      <c r="I78" s="45" t="s">
        <v>192</v>
      </c>
      <c r="J78" s="78">
        <v>43845</v>
      </c>
      <c r="K78" s="78">
        <v>44026</v>
      </c>
      <c r="L78" s="45">
        <v>4</v>
      </c>
      <c r="M78" s="99">
        <f t="shared" si="7"/>
        <v>280</v>
      </c>
      <c r="N78" s="99">
        <f>Tabla3[[#This Row],[NUMBER OF DAYS]]*Tabla3[[#This Row],[MAX. UNIT COST PER DAY]]</f>
        <v>1120</v>
      </c>
      <c r="O78" s="162"/>
    </row>
    <row r="79" spans="1:34" x14ac:dyDescent="0.25">
      <c r="A79" s="94" t="s">
        <v>23</v>
      </c>
      <c r="B79" s="64" t="s">
        <v>54</v>
      </c>
      <c r="C79" s="64" t="s">
        <v>99</v>
      </c>
      <c r="D79" s="76" t="s">
        <v>91</v>
      </c>
      <c r="E79" s="75" t="s">
        <v>195</v>
      </c>
      <c r="F79" s="45" t="s">
        <v>193</v>
      </c>
      <c r="G79" s="45" t="s">
        <v>48</v>
      </c>
      <c r="H79" s="45" t="s">
        <v>211</v>
      </c>
      <c r="I79" s="45" t="s">
        <v>194</v>
      </c>
      <c r="J79" s="78">
        <v>43845</v>
      </c>
      <c r="K79" s="78">
        <v>44026</v>
      </c>
      <c r="L79" s="45">
        <v>5</v>
      </c>
      <c r="M79" s="99">
        <f t="shared" si="7"/>
        <v>214</v>
      </c>
      <c r="N79" s="99">
        <f>Tabla3[[#This Row],[NUMBER OF DAYS]]*Tabla3[[#This Row],[MAX. UNIT COST PER DAY]]</f>
        <v>1070</v>
      </c>
      <c r="O79" t="s">
        <v>126</v>
      </c>
    </row>
    <row r="80" spans="1:34" x14ac:dyDescent="0.25">
      <c r="A80" s="94" t="s">
        <v>73</v>
      </c>
      <c r="B80" s="64" t="s">
        <v>54</v>
      </c>
      <c r="C80" s="64" t="s">
        <v>99</v>
      </c>
      <c r="D80" s="76" t="s">
        <v>91</v>
      </c>
      <c r="E80" s="75" t="s">
        <v>196</v>
      </c>
      <c r="F80" s="45" t="s">
        <v>193</v>
      </c>
      <c r="G80" s="45" t="s">
        <v>226</v>
      </c>
      <c r="H80" s="45" t="s">
        <v>213</v>
      </c>
      <c r="I80" s="45" t="s">
        <v>197</v>
      </c>
      <c r="J80" s="78">
        <v>43845</v>
      </c>
      <c r="K80" s="78">
        <v>44026</v>
      </c>
      <c r="L80" s="45">
        <v>3</v>
      </c>
      <c r="M80" s="99">
        <f t="shared" si="7"/>
        <v>162</v>
      </c>
      <c r="N80" s="99">
        <f>Tabla3[[#This Row],[NUMBER OF DAYS]]*Tabla3[[#This Row],[MAX. UNIT COST PER DAY]]</f>
        <v>486</v>
      </c>
      <c r="O80" t="s">
        <v>126</v>
      </c>
    </row>
    <row r="81" spans="1:34" x14ac:dyDescent="0.25">
      <c r="A81" s="94" t="s">
        <v>23</v>
      </c>
      <c r="B81" s="64" t="s">
        <v>54</v>
      </c>
      <c r="C81" s="64" t="s">
        <v>99</v>
      </c>
      <c r="D81" s="76" t="s">
        <v>91</v>
      </c>
      <c r="E81" s="75" t="s">
        <v>200</v>
      </c>
      <c r="F81" s="45" t="s">
        <v>198</v>
      </c>
      <c r="G81" s="45" t="s">
        <v>48</v>
      </c>
      <c r="H81" s="45" t="s">
        <v>211</v>
      </c>
      <c r="I81" s="45" t="s">
        <v>199</v>
      </c>
      <c r="J81" s="78">
        <v>43845</v>
      </c>
      <c r="K81" s="78">
        <v>44026</v>
      </c>
      <c r="L81" s="45">
        <v>5</v>
      </c>
      <c r="M81" s="99">
        <f t="shared" si="7"/>
        <v>214</v>
      </c>
      <c r="N81" s="99">
        <f>Tabla3[[#This Row],[NUMBER OF DAYS]]*Tabla3[[#This Row],[MAX. UNIT COST PER DAY]]</f>
        <v>1070</v>
      </c>
      <c r="O81" t="s">
        <v>126</v>
      </c>
    </row>
    <row r="82" spans="1:34" x14ac:dyDescent="0.25">
      <c r="A82" s="94" t="s">
        <v>73</v>
      </c>
      <c r="B82" s="64" t="s">
        <v>54</v>
      </c>
      <c r="C82" s="64" t="s">
        <v>99</v>
      </c>
      <c r="D82" s="76" t="s">
        <v>91</v>
      </c>
      <c r="E82" s="75" t="s">
        <v>202</v>
      </c>
      <c r="F82" s="45" t="s">
        <v>201</v>
      </c>
      <c r="G82" s="45" t="s">
        <v>226</v>
      </c>
      <c r="H82" s="45" t="s">
        <v>213</v>
      </c>
      <c r="I82" s="45" t="s">
        <v>204</v>
      </c>
      <c r="J82" s="78">
        <v>43845</v>
      </c>
      <c r="K82" s="78">
        <v>44026</v>
      </c>
      <c r="L82" s="45">
        <v>2</v>
      </c>
      <c r="M82" s="99">
        <f t="shared" si="7"/>
        <v>162</v>
      </c>
      <c r="N82" s="99">
        <f>Tabla3[[#This Row],[NUMBER OF DAYS]]*Tabla3[[#This Row],[MAX. UNIT COST PER DAY]]</f>
        <v>324</v>
      </c>
      <c r="O82" t="s">
        <v>126</v>
      </c>
    </row>
    <row r="83" spans="1:34" x14ac:dyDescent="0.25">
      <c r="A83" s="94" t="s">
        <v>23</v>
      </c>
      <c r="B83" s="64" t="s">
        <v>54</v>
      </c>
      <c r="C83" s="64" t="s">
        <v>99</v>
      </c>
      <c r="D83" s="76" t="s">
        <v>91</v>
      </c>
      <c r="E83" s="75" t="s">
        <v>203</v>
      </c>
      <c r="F83" s="45" t="s">
        <v>201</v>
      </c>
      <c r="G83" s="45" t="s">
        <v>48</v>
      </c>
      <c r="H83" s="45" t="s">
        <v>211</v>
      </c>
      <c r="I83" s="45" t="s">
        <v>205</v>
      </c>
      <c r="J83" s="78">
        <v>43845</v>
      </c>
      <c r="K83" s="78">
        <v>44026</v>
      </c>
      <c r="L83" s="45">
        <v>5</v>
      </c>
      <c r="M83" s="99">
        <f t="shared" si="7"/>
        <v>214</v>
      </c>
      <c r="N83" s="99">
        <f>Tabla3[[#This Row],[NUMBER OF DAYS]]*Tabla3[[#This Row],[MAX. UNIT COST PER DAY]]</f>
        <v>1070</v>
      </c>
      <c r="O83" t="s">
        <v>126</v>
      </c>
    </row>
    <row r="84" spans="1:34" x14ac:dyDescent="0.25">
      <c r="A84" s="94" t="s">
        <v>74</v>
      </c>
      <c r="B84" s="64" t="s">
        <v>54</v>
      </c>
      <c r="C84" s="64" t="s">
        <v>99</v>
      </c>
      <c r="D84" s="76" t="s">
        <v>91</v>
      </c>
      <c r="E84" s="75" t="s">
        <v>208</v>
      </c>
      <c r="F84" s="45" t="s">
        <v>206</v>
      </c>
      <c r="G84" s="45" t="s">
        <v>229</v>
      </c>
      <c r="H84" s="45" t="s">
        <v>210</v>
      </c>
      <c r="I84" s="45" t="s">
        <v>207</v>
      </c>
      <c r="J84" s="78">
        <v>43845</v>
      </c>
      <c r="K84" s="78">
        <v>44026</v>
      </c>
      <c r="L84" s="45">
        <v>9</v>
      </c>
      <c r="M84" s="99">
        <f t="shared" si="7"/>
        <v>131</v>
      </c>
      <c r="N84" s="99">
        <f>Tabla3[[#This Row],[NUMBER OF DAYS]]*Tabla3[[#This Row],[MAX. UNIT COST PER DAY]]</f>
        <v>1179</v>
      </c>
      <c r="O84" t="s">
        <v>126</v>
      </c>
    </row>
    <row r="85" spans="1:34" x14ac:dyDescent="0.25">
      <c r="A85" s="94" t="s">
        <v>73</v>
      </c>
      <c r="B85" s="64" t="s">
        <v>54</v>
      </c>
      <c r="C85" s="64" t="s">
        <v>99</v>
      </c>
      <c r="D85" s="76" t="s">
        <v>91</v>
      </c>
      <c r="E85" s="75" t="s">
        <v>208</v>
      </c>
      <c r="F85" s="45" t="s">
        <v>206</v>
      </c>
      <c r="G85" s="45" t="s">
        <v>229</v>
      </c>
      <c r="H85" s="45" t="s">
        <v>213</v>
      </c>
      <c r="I85" s="45" t="s">
        <v>207</v>
      </c>
      <c r="J85" s="78">
        <v>43845</v>
      </c>
      <c r="K85" s="78">
        <v>44026</v>
      </c>
      <c r="L85" s="45">
        <v>12</v>
      </c>
      <c r="M85" s="99">
        <f t="shared" si="7"/>
        <v>131</v>
      </c>
      <c r="N85" s="99">
        <f>Tabla3[[#This Row],[NUMBER OF DAYS]]*Tabla3[[#This Row],[MAX. UNIT COST PER DAY]]</f>
        <v>1572</v>
      </c>
      <c r="O85" t="s">
        <v>126</v>
      </c>
    </row>
    <row r="86" spans="1:34" x14ac:dyDescent="0.25">
      <c r="A86" s="94" t="s">
        <v>73</v>
      </c>
      <c r="B86" s="64" t="s">
        <v>54</v>
      </c>
      <c r="C86" s="64" t="s">
        <v>99</v>
      </c>
      <c r="D86" s="76" t="s">
        <v>91</v>
      </c>
      <c r="E86" s="75" t="s">
        <v>346</v>
      </c>
      <c r="F86" s="45" t="s">
        <v>193</v>
      </c>
      <c r="G86" s="45" t="s">
        <v>226</v>
      </c>
      <c r="H86" s="45" t="s">
        <v>213</v>
      </c>
      <c r="I86" s="45" t="s">
        <v>345</v>
      </c>
      <c r="J86" s="78">
        <v>44027</v>
      </c>
      <c r="K86" s="78">
        <v>44210</v>
      </c>
      <c r="L86" s="45">
        <v>3</v>
      </c>
      <c r="M86" s="99">
        <f t="shared" si="7"/>
        <v>162</v>
      </c>
      <c r="N86" s="99">
        <f>Tabla3[[#This Row],[NUMBER OF DAYS]]*Tabla3[[#This Row],[MAX. UNIT COST PER DAY]]</f>
        <v>486</v>
      </c>
      <c r="O86" s="162"/>
      <c r="P86" s="152"/>
      <c r="Q86" s="152"/>
      <c r="R86" s="152"/>
      <c r="S86" s="152"/>
      <c r="T86" s="152"/>
      <c r="U86" s="152"/>
      <c r="V86" s="152"/>
      <c r="W86" s="152"/>
      <c r="X86" s="152"/>
      <c r="Y86" s="152"/>
      <c r="Z86" s="152"/>
      <c r="AA86" s="152"/>
      <c r="AB86" s="152"/>
      <c r="AC86" s="152"/>
      <c r="AD86" s="152"/>
      <c r="AE86" s="152"/>
      <c r="AF86" s="152"/>
      <c r="AG86" s="152"/>
      <c r="AH86" s="152"/>
    </row>
    <row r="87" spans="1:34" x14ac:dyDescent="0.25">
      <c r="A87" s="94" t="s">
        <v>24</v>
      </c>
      <c r="B87" s="64" t="s">
        <v>54</v>
      </c>
      <c r="C87" s="64" t="s">
        <v>99</v>
      </c>
      <c r="D87" s="76" t="s">
        <v>91</v>
      </c>
      <c r="E87" s="75" t="s">
        <v>347</v>
      </c>
      <c r="F87" s="45" t="s">
        <v>201</v>
      </c>
      <c r="G87" s="45" t="s">
        <v>48</v>
      </c>
      <c r="H87" s="45" t="s">
        <v>225</v>
      </c>
      <c r="I87" s="45" t="s">
        <v>348</v>
      </c>
      <c r="J87" s="78">
        <v>44027</v>
      </c>
      <c r="K87" s="78">
        <v>44210</v>
      </c>
      <c r="L87" s="45">
        <v>25</v>
      </c>
      <c r="M87" s="99">
        <f t="shared" si="7"/>
        <v>214</v>
      </c>
      <c r="N87" s="99">
        <f>Tabla3[[#This Row],[NUMBER OF DAYS]]*Tabla3[[#This Row],[MAX. UNIT COST PER DAY]]</f>
        <v>5350</v>
      </c>
      <c r="O87" s="162"/>
      <c r="P87" s="152"/>
      <c r="Q87" s="152"/>
      <c r="R87" s="152"/>
      <c r="S87" s="152"/>
      <c r="T87" s="152"/>
      <c r="U87" s="152"/>
      <c r="V87" s="152"/>
      <c r="W87" s="152"/>
      <c r="X87" s="152"/>
      <c r="Y87" s="152"/>
      <c r="Z87" s="152"/>
      <c r="AA87" s="152"/>
      <c r="AB87" s="152"/>
      <c r="AC87" s="152"/>
      <c r="AD87" s="152"/>
      <c r="AE87" s="152"/>
      <c r="AF87" s="152"/>
      <c r="AG87" s="152"/>
      <c r="AH87" s="152"/>
    </row>
    <row r="88" spans="1:34" x14ac:dyDescent="0.25">
      <c r="A88" s="94" t="s">
        <v>74</v>
      </c>
      <c r="B88" s="64" t="s">
        <v>54</v>
      </c>
      <c r="C88" s="64" t="s">
        <v>99</v>
      </c>
      <c r="D88" s="76" t="s">
        <v>91</v>
      </c>
      <c r="E88" s="75" t="s">
        <v>349</v>
      </c>
      <c r="F88" s="45" t="s">
        <v>191</v>
      </c>
      <c r="G88" s="45" t="s">
        <v>47</v>
      </c>
      <c r="H88" s="45" t="s">
        <v>210</v>
      </c>
      <c r="I88" s="45" t="s">
        <v>350</v>
      </c>
      <c r="J88" s="78">
        <v>44027</v>
      </c>
      <c r="K88" s="78">
        <v>44210</v>
      </c>
      <c r="L88" s="45">
        <v>6</v>
      </c>
      <c r="M88" s="99">
        <f t="shared" si="7"/>
        <v>280</v>
      </c>
      <c r="N88" s="99">
        <f>Tabla3[[#This Row],[NUMBER OF DAYS]]*Tabla3[[#This Row],[MAX. UNIT COST PER DAY]]</f>
        <v>1680</v>
      </c>
      <c r="O88" s="162"/>
      <c r="P88" s="152"/>
      <c r="Q88" s="152"/>
      <c r="R88" s="152"/>
      <c r="S88" s="152"/>
      <c r="T88" s="152"/>
      <c r="U88" s="152"/>
      <c r="V88" s="152"/>
      <c r="W88" s="152"/>
      <c r="X88" s="152"/>
      <c r="Y88" s="152"/>
      <c r="Z88" s="152"/>
      <c r="AA88" s="152"/>
      <c r="AB88" s="152"/>
      <c r="AC88" s="152"/>
      <c r="AD88" s="152"/>
      <c r="AE88" s="152"/>
      <c r="AF88" s="152"/>
      <c r="AG88" s="152"/>
      <c r="AH88" s="152"/>
    </row>
    <row r="89" spans="1:34" x14ac:dyDescent="0.25">
      <c r="A89" s="94" t="s">
        <v>72</v>
      </c>
      <c r="B89" s="64" t="s">
        <v>54</v>
      </c>
      <c r="C89" s="64" t="s">
        <v>99</v>
      </c>
      <c r="D89" s="76" t="s">
        <v>91</v>
      </c>
      <c r="E89" s="75" t="s">
        <v>349</v>
      </c>
      <c r="F89" s="45" t="s">
        <v>191</v>
      </c>
      <c r="G89" s="45" t="s">
        <v>47</v>
      </c>
      <c r="H89" s="45" t="s">
        <v>212</v>
      </c>
      <c r="I89" s="45" t="s">
        <v>351</v>
      </c>
      <c r="J89" s="78">
        <v>44027</v>
      </c>
      <c r="K89" s="78">
        <v>44210</v>
      </c>
      <c r="L89" s="45">
        <v>6</v>
      </c>
      <c r="M89" s="99">
        <f t="shared" si="7"/>
        <v>280</v>
      </c>
      <c r="N89" s="99">
        <f>Tabla3[[#This Row],[NUMBER OF DAYS]]*Tabla3[[#This Row],[MAX. UNIT COST PER DAY]]</f>
        <v>1680</v>
      </c>
      <c r="O89" s="162"/>
      <c r="P89" s="152"/>
      <c r="Q89" s="152"/>
      <c r="R89" s="152"/>
      <c r="S89" s="152"/>
      <c r="T89" s="152"/>
      <c r="U89" s="152"/>
      <c r="V89" s="152"/>
      <c r="W89" s="152"/>
      <c r="X89" s="152"/>
      <c r="Y89" s="152"/>
      <c r="Z89" s="152"/>
      <c r="AA89" s="152"/>
      <c r="AB89" s="152"/>
      <c r="AC89" s="152"/>
      <c r="AD89" s="152"/>
      <c r="AE89" s="152"/>
      <c r="AF89" s="152"/>
      <c r="AG89" s="152"/>
      <c r="AH89" s="152"/>
    </row>
    <row r="90" spans="1:34" x14ac:dyDescent="0.25">
      <c r="A90" s="94" t="s">
        <v>24</v>
      </c>
      <c r="B90" s="64" t="s">
        <v>54</v>
      </c>
      <c r="C90" s="64" t="s">
        <v>99</v>
      </c>
      <c r="D90" s="76" t="s">
        <v>91</v>
      </c>
      <c r="E90" s="75" t="s">
        <v>353</v>
      </c>
      <c r="F90" s="45" t="s">
        <v>198</v>
      </c>
      <c r="G90" s="45" t="s">
        <v>48</v>
      </c>
      <c r="H90" s="45" t="s">
        <v>225</v>
      </c>
      <c r="I90" s="45" t="s">
        <v>352</v>
      </c>
      <c r="J90" s="78">
        <v>44027</v>
      </c>
      <c r="K90" s="78">
        <v>44210</v>
      </c>
      <c r="L90" s="45">
        <v>23</v>
      </c>
      <c r="M90" s="99">
        <f t="shared" si="7"/>
        <v>214</v>
      </c>
      <c r="N90" s="99">
        <f>Tabla3[[#This Row],[NUMBER OF DAYS]]*Tabla3[[#This Row],[MAX. UNIT COST PER DAY]]</f>
        <v>4922</v>
      </c>
      <c r="O90" s="162"/>
      <c r="P90" s="152"/>
      <c r="Q90" s="152"/>
      <c r="R90" s="152"/>
      <c r="S90" s="152"/>
      <c r="T90" s="152"/>
      <c r="U90" s="152"/>
      <c r="V90" s="152"/>
      <c r="W90" s="152"/>
      <c r="X90" s="152"/>
      <c r="Y90" s="152"/>
      <c r="Z90" s="152"/>
      <c r="AA90" s="152"/>
      <c r="AB90" s="152"/>
      <c r="AC90" s="152"/>
      <c r="AD90" s="152"/>
      <c r="AE90" s="152"/>
      <c r="AF90" s="152"/>
      <c r="AG90" s="152"/>
      <c r="AH90" s="152"/>
    </row>
    <row r="91" spans="1:34" x14ac:dyDescent="0.25">
      <c r="A91" s="94" t="s">
        <v>74</v>
      </c>
      <c r="B91" s="64" t="s">
        <v>54</v>
      </c>
      <c r="C91" s="64" t="s">
        <v>99</v>
      </c>
      <c r="D91" s="76" t="s">
        <v>91</v>
      </c>
      <c r="E91" s="75" t="s">
        <v>354</v>
      </c>
      <c r="F91" s="45" t="s">
        <v>206</v>
      </c>
      <c r="G91" s="45" t="s">
        <v>229</v>
      </c>
      <c r="H91" s="45" t="s">
        <v>210</v>
      </c>
      <c r="I91" s="45" t="s">
        <v>355</v>
      </c>
      <c r="J91" s="78">
        <v>44027</v>
      </c>
      <c r="K91" s="78">
        <v>44210</v>
      </c>
      <c r="L91" s="45">
        <v>7</v>
      </c>
      <c r="M91" s="99">
        <f t="shared" si="7"/>
        <v>131</v>
      </c>
      <c r="N91" s="99">
        <f>Tabla3[[#This Row],[NUMBER OF DAYS]]*Tabla3[[#This Row],[MAX. UNIT COST PER DAY]]</f>
        <v>917</v>
      </c>
      <c r="O91" s="162"/>
      <c r="P91" s="152"/>
      <c r="Q91" s="152"/>
      <c r="R91" s="152"/>
      <c r="S91" s="152"/>
      <c r="T91" s="152"/>
      <c r="U91" s="152"/>
      <c r="V91" s="152"/>
      <c r="W91" s="152"/>
      <c r="X91" s="152"/>
      <c r="Y91" s="152"/>
      <c r="Z91" s="152"/>
      <c r="AA91" s="152"/>
      <c r="AB91" s="152"/>
      <c r="AC91" s="152"/>
      <c r="AD91" s="152"/>
      <c r="AE91" s="152"/>
      <c r="AF91" s="152"/>
      <c r="AG91" s="152"/>
      <c r="AH91" s="152"/>
    </row>
    <row r="92" spans="1:34" x14ac:dyDescent="0.25">
      <c r="A92" s="94" t="s">
        <v>72</v>
      </c>
      <c r="B92" s="64" t="s">
        <v>54</v>
      </c>
      <c r="C92" s="64" t="s">
        <v>99</v>
      </c>
      <c r="D92" s="76" t="s">
        <v>91</v>
      </c>
      <c r="E92" s="75" t="s">
        <v>354</v>
      </c>
      <c r="F92" s="45" t="s">
        <v>206</v>
      </c>
      <c r="G92" s="45" t="s">
        <v>229</v>
      </c>
      <c r="H92" s="45" t="s">
        <v>212</v>
      </c>
      <c r="I92" s="45" t="s">
        <v>356</v>
      </c>
      <c r="J92" s="78">
        <v>44027</v>
      </c>
      <c r="K92" s="78">
        <v>44210</v>
      </c>
      <c r="L92" s="45">
        <v>5</v>
      </c>
      <c r="M92" s="99">
        <f t="shared" si="7"/>
        <v>131</v>
      </c>
      <c r="N92" s="99">
        <f>Tabla3[[#This Row],[NUMBER OF DAYS]]*Tabla3[[#This Row],[MAX. UNIT COST PER DAY]]</f>
        <v>655</v>
      </c>
      <c r="O92" s="162"/>
    </row>
    <row r="93" spans="1:34" x14ac:dyDescent="0.25">
      <c r="A93" s="94" t="s">
        <v>24</v>
      </c>
      <c r="B93" s="64" t="s">
        <v>54</v>
      </c>
      <c r="C93" s="64" t="s">
        <v>99</v>
      </c>
      <c r="D93" s="76" t="s">
        <v>91</v>
      </c>
      <c r="E93" s="75" t="s">
        <v>357</v>
      </c>
      <c r="F93" s="45" t="s">
        <v>193</v>
      </c>
      <c r="G93" s="45" t="s">
        <v>48</v>
      </c>
      <c r="H93" s="45" t="s">
        <v>225</v>
      </c>
      <c r="I93" s="45" t="s">
        <v>352</v>
      </c>
      <c r="J93" s="78">
        <v>44027</v>
      </c>
      <c r="K93" s="78">
        <v>44210</v>
      </c>
      <c r="L93" s="179">
        <v>27</v>
      </c>
      <c r="M93" s="99">
        <f t="shared" si="7"/>
        <v>214</v>
      </c>
      <c r="N93" s="99">
        <f>Tabla3[[#This Row],[NUMBER OF DAYS]]*Tabla3[[#This Row],[MAX. UNIT COST PER DAY]]</f>
        <v>5778</v>
      </c>
      <c r="O93" s="162"/>
      <c r="P93" s="152"/>
      <c r="Q93" s="152"/>
      <c r="R93" s="152"/>
      <c r="S93" s="152"/>
      <c r="T93" s="152"/>
      <c r="U93" s="152"/>
      <c r="V93" s="152"/>
      <c r="W93" s="152"/>
      <c r="X93" s="152"/>
      <c r="Y93" s="152"/>
      <c r="Z93" s="152"/>
      <c r="AA93" s="152"/>
      <c r="AB93" s="152"/>
      <c r="AC93" s="152"/>
      <c r="AD93" s="152"/>
      <c r="AE93" s="152"/>
      <c r="AF93" s="152"/>
      <c r="AG93" s="152"/>
      <c r="AH93" s="152"/>
    </row>
    <row r="94" spans="1:34" x14ac:dyDescent="0.25">
      <c r="A94" s="194" t="s">
        <v>24</v>
      </c>
      <c r="B94" s="64" t="s">
        <v>54</v>
      </c>
      <c r="C94" s="64" t="s">
        <v>99</v>
      </c>
      <c r="D94" s="76" t="s">
        <v>91</v>
      </c>
      <c r="E94" s="75" t="s">
        <v>585</v>
      </c>
      <c r="F94" s="45" t="s">
        <v>193</v>
      </c>
      <c r="G94" s="45" t="s">
        <v>48</v>
      </c>
      <c r="H94" s="45" t="s">
        <v>225</v>
      </c>
      <c r="I94" s="45" t="s">
        <v>625</v>
      </c>
      <c r="J94" s="196">
        <v>44211</v>
      </c>
      <c r="K94" s="196">
        <v>44391</v>
      </c>
      <c r="L94" s="192">
        <v>20</v>
      </c>
      <c r="M94" s="198">
        <f t="shared" ref="M94:M103" si="8">IF(AND(G94="Manager",D94="Spain"),164,IF(AND(G94="Teacher/Trainer/Researcher",D94="Spain"),137,IF(AND(G94="Technical Staff",D94="Spain"),164,IF(AND(G94="Administrative staff",D94="Spain"),164,IF(AND(G94="Manager",D94="Slovenia"),164,IF(AND(G94="Teacher/Trainer/Researcher",D94="Slovenia"),137,IF(AND(G94="Technical Staff",D94="Slovenia"),102,IF(AND(G94="Administrative staff",D94="Slovenia"),78,IF(AND(G94="Manager",D94="Italy"),280,IF(AND(G94="Teacher/Trainer/Researcher",D94="Italy"),214,IF(AND(G94="Technical Staff",D94="Italy"),162,IF(AND(G94="Administrative staff",D94="Italy"),131,IF(AND(G94="Manager",D94="Kazakstan"),77,IF(AND(G94="Teacher/Trainer/Researcher",D94="Kazakstan"),57,IF(AND(G94="Technical Staff",D94="Kazakstan"),40,IF(AND(G94="Administrative staff",D94="Kazakstan"),32,IF(AND(G94="Manager",D94="Turkmenistan"),47,IF(AND(G94="Teacher/Trainer/Researcher",D94="Turkmenistan"),33,IF(AND(G94="Technical Staff",D94="Turkmenistan"),22,IF(AND(G94="Administrative staff",D94="Turkmenistan"),17,IF(AND(G94="Manager",D94="Tajikistan"),47,IF(AND(G94="Teacher/Trainer/Researcher",D94="Tajikistan"),33,IF(AND(G94="Technical Staff",D94="Tajikistan"),22,IF(AND(G94="Administrative staff",D94="Tajikistan"),17,))))))))))))))))))))))))</f>
        <v>214</v>
      </c>
      <c r="N94" s="198">
        <f>Tabla3[[#This Row],[NUMBER OF DAYS]]*Tabla3[[#This Row],[MAX. UNIT COST PER DAY]]</f>
        <v>4280</v>
      </c>
      <c r="O94" s="162"/>
      <c r="P94" s="188"/>
      <c r="Q94" s="188"/>
      <c r="R94" s="188"/>
      <c r="S94" s="188"/>
      <c r="T94" s="188"/>
      <c r="U94" s="188"/>
      <c r="V94" s="188"/>
      <c r="W94" s="188"/>
      <c r="X94" s="188"/>
      <c r="Y94" s="188"/>
      <c r="Z94" s="188"/>
      <c r="AA94" s="188"/>
      <c r="AB94" s="188"/>
      <c r="AC94" s="188"/>
      <c r="AD94" s="188"/>
      <c r="AE94" s="188"/>
      <c r="AF94" s="188"/>
      <c r="AG94" s="188"/>
      <c r="AH94" s="188"/>
    </row>
    <row r="95" spans="1:34" x14ac:dyDescent="0.25">
      <c r="A95" s="194" t="s">
        <v>74</v>
      </c>
      <c r="B95" s="64" t="s">
        <v>54</v>
      </c>
      <c r="C95" s="64" t="s">
        <v>99</v>
      </c>
      <c r="D95" s="76" t="s">
        <v>91</v>
      </c>
      <c r="E95" s="75" t="s">
        <v>586</v>
      </c>
      <c r="F95" s="45" t="s">
        <v>191</v>
      </c>
      <c r="G95" s="45" t="s">
        <v>47</v>
      </c>
      <c r="H95" s="45" t="s">
        <v>210</v>
      </c>
      <c r="I95" s="45" t="s">
        <v>626</v>
      </c>
      <c r="J95" s="196">
        <v>44211</v>
      </c>
      <c r="K95" s="196">
        <v>44391</v>
      </c>
      <c r="L95" s="192">
        <v>6</v>
      </c>
      <c r="M95" s="198">
        <f t="shared" si="8"/>
        <v>280</v>
      </c>
      <c r="N95" s="198">
        <f>Tabla3[[#This Row],[NUMBER OF DAYS]]*Tabla3[[#This Row],[MAX. UNIT COST PER DAY]]</f>
        <v>1680</v>
      </c>
      <c r="O95" s="162"/>
      <c r="P95" s="188"/>
      <c r="Q95" s="188"/>
      <c r="R95" s="188"/>
      <c r="S95" s="188"/>
      <c r="T95" s="188"/>
      <c r="U95" s="188"/>
      <c r="V95" s="188"/>
      <c r="W95" s="188"/>
      <c r="X95" s="188"/>
      <c r="Y95" s="188"/>
      <c r="Z95" s="188"/>
      <c r="AA95" s="188"/>
      <c r="AB95" s="188"/>
      <c r="AC95" s="188"/>
      <c r="AD95" s="188"/>
      <c r="AE95" s="188"/>
      <c r="AF95" s="188"/>
      <c r="AG95" s="188"/>
      <c r="AH95" s="188"/>
    </row>
    <row r="96" spans="1:34" x14ac:dyDescent="0.25">
      <c r="A96" s="194" t="s">
        <v>72</v>
      </c>
      <c r="B96" s="64" t="s">
        <v>54</v>
      </c>
      <c r="C96" s="64" t="s">
        <v>99</v>
      </c>
      <c r="D96" s="76" t="s">
        <v>91</v>
      </c>
      <c r="E96" s="75" t="s">
        <v>586</v>
      </c>
      <c r="F96" s="45" t="s">
        <v>191</v>
      </c>
      <c r="G96" s="45" t="s">
        <v>47</v>
      </c>
      <c r="H96" s="45" t="s">
        <v>212</v>
      </c>
      <c r="I96" s="45" t="s">
        <v>627</v>
      </c>
      <c r="J96" s="196">
        <v>44211</v>
      </c>
      <c r="K96" s="196">
        <v>44391</v>
      </c>
      <c r="L96" s="192">
        <v>4</v>
      </c>
      <c r="M96" s="198">
        <f t="shared" si="8"/>
        <v>280</v>
      </c>
      <c r="N96" s="198">
        <f>Tabla3[[#This Row],[NUMBER OF DAYS]]*Tabla3[[#This Row],[MAX. UNIT COST PER DAY]]</f>
        <v>1120</v>
      </c>
      <c r="O96" s="162"/>
      <c r="P96" s="188"/>
      <c r="Q96" s="188"/>
      <c r="R96" s="188"/>
      <c r="S96" s="188"/>
      <c r="T96" s="188"/>
      <c r="U96" s="188"/>
      <c r="V96" s="188"/>
      <c r="W96" s="188"/>
      <c r="X96" s="188"/>
      <c r="Y96" s="188"/>
      <c r="Z96" s="188"/>
      <c r="AA96" s="188"/>
      <c r="AB96" s="188"/>
      <c r="AC96" s="188"/>
      <c r="AD96" s="188"/>
      <c r="AE96" s="188"/>
      <c r="AF96" s="188"/>
      <c r="AG96" s="188"/>
      <c r="AH96" s="188"/>
    </row>
    <row r="97" spans="1:34" x14ac:dyDescent="0.25">
      <c r="A97" s="194" t="s">
        <v>24</v>
      </c>
      <c r="B97" s="64" t="s">
        <v>54</v>
      </c>
      <c r="C97" s="64" t="s">
        <v>99</v>
      </c>
      <c r="D97" s="76" t="s">
        <v>91</v>
      </c>
      <c r="E97" s="75" t="s">
        <v>587</v>
      </c>
      <c r="F97" s="45" t="s">
        <v>198</v>
      </c>
      <c r="G97" s="45" t="s">
        <v>48</v>
      </c>
      <c r="H97" s="45" t="s">
        <v>225</v>
      </c>
      <c r="I97" s="45" t="s">
        <v>625</v>
      </c>
      <c r="J97" s="196">
        <v>44211</v>
      </c>
      <c r="K97" s="196">
        <v>44391</v>
      </c>
      <c r="L97" s="192">
        <v>15</v>
      </c>
      <c r="M97" s="198">
        <f t="shared" si="8"/>
        <v>214</v>
      </c>
      <c r="N97" s="198">
        <f>Tabla3[[#This Row],[NUMBER OF DAYS]]*Tabla3[[#This Row],[MAX. UNIT COST PER DAY]]</f>
        <v>3210</v>
      </c>
      <c r="O97" s="162"/>
      <c r="P97" s="188"/>
      <c r="Q97" s="188"/>
      <c r="R97" s="188"/>
      <c r="S97" s="188"/>
      <c r="T97" s="188"/>
      <c r="U97" s="188"/>
      <c r="V97" s="188"/>
      <c r="W97" s="188"/>
      <c r="X97" s="188"/>
      <c r="Y97" s="188"/>
      <c r="Z97" s="188"/>
      <c r="AA97" s="188"/>
      <c r="AB97" s="188"/>
      <c r="AC97" s="188"/>
      <c r="AD97" s="188"/>
      <c r="AE97" s="188"/>
      <c r="AF97" s="188"/>
      <c r="AG97" s="188"/>
      <c r="AH97" s="188"/>
    </row>
    <row r="98" spans="1:34" x14ac:dyDescent="0.25">
      <c r="A98" s="194" t="s">
        <v>73</v>
      </c>
      <c r="B98" s="64" t="s">
        <v>54</v>
      </c>
      <c r="C98" s="64" t="s">
        <v>99</v>
      </c>
      <c r="D98" s="76" t="s">
        <v>91</v>
      </c>
      <c r="E98" s="75" t="s">
        <v>589</v>
      </c>
      <c r="F98" s="192" t="s">
        <v>588</v>
      </c>
      <c r="G98" s="192" t="s">
        <v>226</v>
      </c>
      <c r="H98" s="45" t="s">
        <v>213</v>
      </c>
      <c r="I98" s="45" t="s">
        <v>628</v>
      </c>
      <c r="J98" s="196">
        <v>44211</v>
      </c>
      <c r="K98" s="196">
        <v>44391</v>
      </c>
      <c r="L98" s="192">
        <v>3</v>
      </c>
      <c r="M98" s="198">
        <f t="shared" si="8"/>
        <v>162</v>
      </c>
      <c r="N98" s="198">
        <f>Tabla3[[#This Row],[NUMBER OF DAYS]]*Tabla3[[#This Row],[MAX. UNIT COST PER DAY]]</f>
        <v>486</v>
      </c>
      <c r="O98" s="162"/>
      <c r="P98" s="188"/>
      <c r="Q98" s="188"/>
      <c r="R98" s="188"/>
      <c r="S98" s="188"/>
      <c r="T98" s="188"/>
      <c r="U98" s="188"/>
      <c r="V98" s="188"/>
      <c r="W98" s="188"/>
      <c r="X98" s="188"/>
      <c r="Y98" s="188"/>
      <c r="Z98" s="188"/>
      <c r="AA98" s="188"/>
      <c r="AB98" s="188"/>
      <c r="AC98" s="188"/>
      <c r="AD98" s="188"/>
      <c r="AE98" s="188"/>
      <c r="AF98" s="188"/>
      <c r="AG98" s="188"/>
      <c r="AH98" s="188"/>
    </row>
    <row r="99" spans="1:34" x14ac:dyDescent="0.25">
      <c r="A99" s="194" t="s">
        <v>74</v>
      </c>
      <c r="B99" s="64" t="s">
        <v>54</v>
      </c>
      <c r="C99" s="64" t="s">
        <v>99</v>
      </c>
      <c r="D99" s="76" t="s">
        <v>91</v>
      </c>
      <c r="E99" s="75" t="s">
        <v>590</v>
      </c>
      <c r="F99" s="45" t="s">
        <v>206</v>
      </c>
      <c r="G99" s="192" t="s">
        <v>229</v>
      </c>
      <c r="H99" s="45" t="s">
        <v>210</v>
      </c>
      <c r="I99" s="45" t="s">
        <v>629</v>
      </c>
      <c r="J99" s="196">
        <v>44211</v>
      </c>
      <c r="K99" s="196">
        <v>44391</v>
      </c>
      <c r="L99" s="192">
        <v>6</v>
      </c>
      <c r="M99" s="198">
        <f t="shared" si="8"/>
        <v>131</v>
      </c>
      <c r="N99" s="198">
        <f>Tabla3[[#This Row],[NUMBER OF DAYS]]*Tabla3[[#This Row],[MAX. UNIT COST PER DAY]]</f>
        <v>786</v>
      </c>
      <c r="O99" s="162"/>
      <c r="P99" s="188"/>
      <c r="Q99" s="188"/>
      <c r="R99" s="188"/>
      <c r="S99" s="188"/>
      <c r="T99" s="188"/>
      <c r="U99" s="188"/>
      <c r="V99" s="188"/>
      <c r="W99" s="188"/>
      <c r="X99" s="188"/>
      <c r="Y99" s="188"/>
      <c r="Z99" s="188"/>
      <c r="AA99" s="188"/>
      <c r="AB99" s="188"/>
      <c r="AC99" s="188"/>
      <c r="AD99" s="188"/>
      <c r="AE99" s="188"/>
      <c r="AF99" s="188"/>
      <c r="AG99" s="188"/>
      <c r="AH99" s="188"/>
    </row>
    <row r="100" spans="1:34" x14ac:dyDescent="0.25">
      <c r="A100" s="94" t="s">
        <v>73</v>
      </c>
      <c r="B100" s="64" t="s">
        <v>54</v>
      </c>
      <c r="C100" s="64" t="s">
        <v>99</v>
      </c>
      <c r="D100" s="76" t="s">
        <v>91</v>
      </c>
      <c r="E100" s="75" t="s">
        <v>735</v>
      </c>
      <c r="F100" s="45" t="s">
        <v>733</v>
      </c>
      <c r="G100" s="45" t="s">
        <v>226</v>
      </c>
      <c r="H100" s="45" t="s">
        <v>213</v>
      </c>
      <c r="I100" s="45" t="s">
        <v>734</v>
      </c>
      <c r="J100" s="78">
        <v>44392</v>
      </c>
      <c r="K100" s="196">
        <v>44561</v>
      </c>
      <c r="L100" s="45">
        <v>4</v>
      </c>
      <c r="M100" s="198">
        <f t="shared" si="8"/>
        <v>162</v>
      </c>
      <c r="N100" s="99">
        <f>Tabla3[[#This Row],[NUMBER OF DAYS]]*Tabla3[[#This Row],[MAX. UNIT COST PER DAY]]</f>
        <v>648</v>
      </c>
      <c r="O100" s="162"/>
      <c r="P100" s="188"/>
      <c r="Q100" s="188"/>
      <c r="R100" s="188"/>
      <c r="S100" s="188"/>
      <c r="T100" s="188"/>
      <c r="U100" s="188"/>
      <c r="V100" s="188"/>
      <c r="W100" s="188"/>
      <c r="X100" s="188"/>
      <c r="Y100" s="188"/>
      <c r="Z100" s="188"/>
      <c r="AA100" s="188"/>
      <c r="AB100" s="188"/>
      <c r="AC100" s="188"/>
      <c r="AD100" s="188"/>
      <c r="AE100" s="188"/>
      <c r="AF100" s="188"/>
      <c r="AG100" s="188"/>
      <c r="AH100" s="188"/>
    </row>
    <row r="101" spans="1:34" x14ac:dyDescent="0.25">
      <c r="A101" s="94" t="s">
        <v>74</v>
      </c>
      <c r="B101" s="64" t="s">
        <v>54</v>
      </c>
      <c r="C101" s="64" t="s">
        <v>99</v>
      </c>
      <c r="D101" s="76" t="s">
        <v>91</v>
      </c>
      <c r="E101" s="75" t="s">
        <v>737</v>
      </c>
      <c r="F101" s="45" t="s">
        <v>206</v>
      </c>
      <c r="G101" s="45" t="s">
        <v>229</v>
      </c>
      <c r="H101" s="45" t="s">
        <v>210</v>
      </c>
      <c r="I101" s="45" t="s">
        <v>736</v>
      </c>
      <c r="J101" s="78">
        <v>44392</v>
      </c>
      <c r="K101" s="196">
        <v>44561</v>
      </c>
      <c r="L101" s="45">
        <v>2</v>
      </c>
      <c r="M101" s="198">
        <f t="shared" si="8"/>
        <v>131</v>
      </c>
      <c r="N101" s="99">
        <f>Tabla3[[#This Row],[NUMBER OF DAYS]]*Tabla3[[#This Row],[MAX. UNIT COST PER DAY]]</f>
        <v>262</v>
      </c>
      <c r="O101" s="162"/>
      <c r="P101" s="188"/>
      <c r="Q101" s="188"/>
      <c r="R101" s="188"/>
      <c r="S101" s="188"/>
      <c r="T101" s="188"/>
      <c r="U101" s="188"/>
      <c r="V101" s="188"/>
      <c r="W101" s="188"/>
      <c r="X101" s="188"/>
      <c r="Y101" s="188"/>
      <c r="Z101" s="188"/>
      <c r="AA101" s="188"/>
      <c r="AB101" s="188"/>
      <c r="AC101" s="188"/>
      <c r="AD101" s="188"/>
      <c r="AE101" s="188"/>
      <c r="AF101" s="188"/>
      <c r="AG101" s="188"/>
      <c r="AH101" s="188"/>
    </row>
    <row r="102" spans="1:34" x14ac:dyDescent="0.25">
      <c r="A102" s="94" t="s">
        <v>74</v>
      </c>
      <c r="B102" s="64" t="s">
        <v>54</v>
      </c>
      <c r="C102" s="64" t="s">
        <v>99</v>
      </c>
      <c r="D102" s="76" t="s">
        <v>91</v>
      </c>
      <c r="E102" s="75" t="s">
        <v>740</v>
      </c>
      <c r="F102" s="45" t="s">
        <v>191</v>
      </c>
      <c r="G102" s="45" t="s">
        <v>47</v>
      </c>
      <c r="H102" s="45" t="s">
        <v>210</v>
      </c>
      <c r="I102" s="45" t="s">
        <v>738</v>
      </c>
      <c r="J102" s="78">
        <v>44392</v>
      </c>
      <c r="K102" s="196">
        <v>44561</v>
      </c>
      <c r="L102" s="45">
        <v>6</v>
      </c>
      <c r="M102" s="198">
        <f t="shared" si="8"/>
        <v>280</v>
      </c>
      <c r="N102" s="99">
        <f>Tabla3[[#This Row],[NUMBER OF DAYS]]*Tabla3[[#This Row],[MAX. UNIT COST PER DAY]]</f>
        <v>1680</v>
      </c>
      <c r="O102" s="162"/>
      <c r="P102" s="188"/>
      <c r="Q102" s="188"/>
      <c r="R102" s="188"/>
      <c r="S102" s="188"/>
      <c r="T102" s="188"/>
      <c r="U102" s="188"/>
      <c r="V102" s="188"/>
      <c r="W102" s="188"/>
      <c r="X102" s="188"/>
      <c r="Y102" s="188"/>
      <c r="Z102" s="188"/>
      <c r="AA102" s="188"/>
      <c r="AB102" s="188"/>
      <c r="AC102" s="188"/>
      <c r="AD102" s="188"/>
      <c r="AE102" s="188"/>
      <c r="AF102" s="188"/>
      <c r="AG102" s="188"/>
      <c r="AH102" s="188"/>
    </row>
    <row r="103" spans="1:34" x14ac:dyDescent="0.25">
      <c r="A103" s="94" t="s">
        <v>72</v>
      </c>
      <c r="B103" s="64" t="s">
        <v>54</v>
      </c>
      <c r="C103" s="64" t="s">
        <v>99</v>
      </c>
      <c r="D103" s="76" t="s">
        <v>91</v>
      </c>
      <c r="E103" s="75" t="s">
        <v>741</v>
      </c>
      <c r="F103" s="45" t="s">
        <v>191</v>
      </c>
      <c r="G103" s="45" t="s">
        <v>47</v>
      </c>
      <c r="H103" s="45" t="s">
        <v>212</v>
      </c>
      <c r="I103" s="45" t="s">
        <v>739</v>
      </c>
      <c r="J103" s="78">
        <v>44392</v>
      </c>
      <c r="K103" s="196">
        <v>44561</v>
      </c>
      <c r="L103" s="45">
        <v>4</v>
      </c>
      <c r="M103" s="198">
        <f t="shared" si="8"/>
        <v>280</v>
      </c>
      <c r="N103" s="99">
        <f>Tabla3[[#This Row],[NUMBER OF DAYS]]*Tabla3[[#This Row],[MAX. UNIT COST PER DAY]]</f>
        <v>1120</v>
      </c>
      <c r="O103" s="162"/>
      <c r="P103" s="188"/>
      <c r="Q103" s="188"/>
      <c r="R103" s="188"/>
      <c r="S103" s="188"/>
      <c r="T103" s="188"/>
      <c r="U103" s="188"/>
      <c r="V103" s="188"/>
      <c r="W103" s="188"/>
      <c r="X103" s="188"/>
      <c r="Y103" s="188"/>
      <c r="Z103" s="188"/>
      <c r="AA103" s="188"/>
      <c r="AB103" s="188"/>
      <c r="AC103" s="188"/>
      <c r="AD103" s="188"/>
      <c r="AE103" s="188"/>
      <c r="AF103" s="188"/>
      <c r="AG103" s="188"/>
      <c r="AH103" s="188"/>
    </row>
    <row r="104" spans="1:34" x14ac:dyDescent="0.25">
      <c r="A104" s="89"/>
      <c r="B104" s="66"/>
      <c r="C104" s="66"/>
      <c r="D104" s="69"/>
      <c r="E104" s="91"/>
      <c r="F104" s="89"/>
      <c r="G104" s="89"/>
      <c r="H104" s="89"/>
      <c r="I104" s="89"/>
      <c r="J104" s="91"/>
      <c r="K104" s="91"/>
      <c r="L104" s="89"/>
      <c r="M104" s="102">
        <f>Tabla3[[#This Row],[TO]]*Tabla3[[#This Row],[NUMBER OF DAYS]]</f>
        <v>0</v>
      </c>
      <c r="N104" s="102">
        <f>Tabla3[[#This Row],[NUMBER OF DAYS]]*Tabla3[[#This Row],[MAX. UNIT COST PER DAY]]</f>
        <v>0</v>
      </c>
    </row>
    <row r="105" spans="1:34" x14ac:dyDescent="0.25">
      <c r="A105" s="45" t="s">
        <v>23</v>
      </c>
      <c r="B105" s="64" t="s">
        <v>55</v>
      </c>
      <c r="C105" s="64" t="s">
        <v>653</v>
      </c>
      <c r="D105" s="76" t="s">
        <v>449</v>
      </c>
      <c r="E105" s="75" t="s">
        <v>190</v>
      </c>
      <c r="F105" s="45" t="s">
        <v>214</v>
      </c>
      <c r="G105" s="45" t="s">
        <v>47</v>
      </c>
      <c r="H105" s="45" t="s">
        <v>211</v>
      </c>
      <c r="I105" s="45" t="s">
        <v>230</v>
      </c>
      <c r="J105" s="78">
        <v>43845</v>
      </c>
      <c r="K105" s="145">
        <v>44026</v>
      </c>
      <c r="L105" s="45">
        <v>5</v>
      </c>
      <c r="M105" s="99">
        <f t="shared" ref="M105:M127" si="9">IF(AND(G105="Manager",D105="Spain"),164,IF(AND(G105="Teacher/Trainer/Researcher",D105="Spain"),137,IF(AND(G105="Technical Staff",D105="Spain"),102,IF(AND(G105="Administrative staff",D105="Spain"),78,IF(AND(G105="Manager",D105="Slovenia"),164,IF(AND(G105="Teacher/Trainer/Researcher",D105="Slovenia"),137,IF(AND(G105="Technical Staff",D105="Slovenia"),102,IF(AND(G105="Administrative staff",D105="Slovenia"),78,IF(AND(G105="Manager",D105="Italy"),280,IF(AND(G105="Teacher/Trainer/Researcher",D105="Italy"),214,IF(AND(G105="Technical Staff",D105="Italy"),162,IF(AND(G105="Administrative staff",D105="Italy"),131,IF(AND(G105="Manager",D105="Kazakhstan"),77,IF(AND(G105="Teacher/Trainer/Researcher",D105="Kazakhstan"),57,IF(AND(G105="Technical Staff",D105="Kazakhstan"),40,IF(AND(G105="Administrative staff",D105="Kazakhstan"),32,IF(AND(G105="Manager",D105="Turkmenistan"),47,IF(AND(G105="Teacher/Trainer/Researcher",D105="Turkmenistan"),33,IF(AND(G105="Technical Staff",D105="Turkmenistan"),22,IF(AND(G105="Administrative staff",D105="Turkmenistan"),17,IF(AND(G105="Manager",D105="Tajikistan"),47,IF(AND(G105="Teacher/Trainer/Researcher",D105="Tajikistan"),33,IF(AND(G105="Technical Staff",D105="Tajikistan"),22,IF(AND(G105="Administrative staff",D105="Tajikistan"),17,))))))))))))))))))))))))</f>
        <v>77</v>
      </c>
      <c r="N105" s="99">
        <f>Tabla3[[#This Row],[NUMBER OF DAYS]]*Tabla3[[#This Row],[MAX. UNIT COST PER DAY]]</f>
        <v>385</v>
      </c>
      <c r="O105" t="s">
        <v>126</v>
      </c>
    </row>
    <row r="106" spans="1:34" x14ac:dyDescent="0.25">
      <c r="A106" s="94" t="s">
        <v>74</v>
      </c>
      <c r="B106" s="64" t="s">
        <v>55</v>
      </c>
      <c r="C106" s="64" t="s">
        <v>653</v>
      </c>
      <c r="D106" s="76" t="s">
        <v>449</v>
      </c>
      <c r="E106" s="75" t="s">
        <v>190</v>
      </c>
      <c r="F106" s="45" t="s">
        <v>214</v>
      </c>
      <c r="G106" s="45" t="s">
        <v>47</v>
      </c>
      <c r="H106" s="45" t="s">
        <v>210</v>
      </c>
      <c r="I106" s="45" t="s">
        <v>231</v>
      </c>
      <c r="J106" s="78">
        <v>43845</v>
      </c>
      <c r="K106" s="145">
        <v>44026</v>
      </c>
      <c r="L106" s="45">
        <v>5</v>
      </c>
      <c r="M106" s="99">
        <f t="shared" si="9"/>
        <v>77</v>
      </c>
      <c r="N106" s="99">
        <f>Tabla3[[#This Row],[NUMBER OF DAYS]]*Tabla3[[#This Row],[MAX. UNIT COST PER DAY]]</f>
        <v>385</v>
      </c>
      <c r="O106" t="s">
        <v>126</v>
      </c>
    </row>
    <row r="107" spans="1:34" x14ac:dyDescent="0.25">
      <c r="A107" s="94" t="s">
        <v>74</v>
      </c>
      <c r="B107" s="64" t="s">
        <v>55</v>
      </c>
      <c r="C107" s="64" t="s">
        <v>653</v>
      </c>
      <c r="D107" s="76" t="s">
        <v>449</v>
      </c>
      <c r="E107" s="75" t="s">
        <v>232</v>
      </c>
      <c r="F107" s="45" t="s">
        <v>215</v>
      </c>
      <c r="G107" s="45" t="s">
        <v>47</v>
      </c>
      <c r="H107" s="45" t="s">
        <v>210</v>
      </c>
      <c r="I107" s="45" t="s">
        <v>216</v>
      </c>
      <c r="J107" s="78">
        <v>43845</v>
      </c>
      <c r="K107" s="145">
        <v>44026</v>
      </c>
      <c r="L107" s="45">
        <v>10</v>
      </c>
      <c r="M107" s="99">
        <f t="shared" si="9"/>
        <v>77</v>
      </c>
      <c r="N107" s="99">
        <f>Tabla3[[#This Row],[NUMBER OF DAYS]]*Tabla3[[#This Row],[MAX. UNIT COST PER DAY]]</f>
        <v>770</v>
      </c>
      <c r="O107" t="s">
        <v>126</v>
      </c>
    </row>
    <row r="108" spans="1:34" x14ac:dyDescent="0.25">
      <c r="A108" s="94" t="s">
        <v>74</v>
      </c>
      <c r="B108" s="64" t="s">
        <v>55</v>
      </c>
      <c r="C108" s="64" t="s">
        <v>653</v>
      </c>
      <c r="D108" s="76" t="s">
        <v>449</v>
      </c>
      <c r="E108" s="75" t="s">
        <v>233</v>
      </c>
      <c r="F108" s="45" t="s">
        <v>217</v>
      </c>
      <c r="G108" s="45" t="s">
        <v>229</v>
      </c>
      <c r="H108" s="45" t="s">
        <v>210</v>
      </c>
      <c r="I108" s="45" t="s">
        <v>218</v>
      </c>
      <c r="J108" s="78">
        <v>43845</v>
      </c>
      <c r="K108" s="145">
        <v>44026</v>
      </c>
      <c r="L108" s="45">
        <v>10</v>
      </c>
      <c r="M108" s="99">
        <f t="shared" si="9"/>
        <v>32</v>
      </c>
      <c r="N108" s="99">
        <f>Tabla3[[#This Row],[NUMBER OF DAYS]]*Tabla3[[#This Row],[MAX. UNIT COST PER DAY]]</f>
        <v>320</v>
      </c>
      <c r="O108" t="s">
        <v>126</v>
      </c>
    </row>
    <row r="109" spans="1:34" x14ac:dyDescent="0.25">
      <c r="A109" s="94" t="s">
        <v>24</v>
      </c>
      <c r="B109" s="64" t="s">
        <v>55</v>
      </c>
      <c r="C109" s="64" t="s">
        <v>653</v>
      </c>
      <c r="D109" s="76" t="s">
        <v>449</v>
      </c>
      <c r="E109" s="75" t="s">
        <v>234</v>
      </c>
      <c r="F109" s="45" t="s">
        <v>219</v>
      </c>
      <c r="G109" s="45" t="s">
        <v>48</v>
      </c>
      <c r="H109" s="45" t="s">
        <v>211</v>
      </c>
      <c r="I109" s="45" t="s">
        <v>220</v>
      </c>
      <c r="J109" s="78">
        <v>43845</v>
      </c>
      <c r="K109" s="145">
        <v>44026</v>
      </c>
      <c r="L109" s="45">
        <v>7</v>
      </c>
      <c r="M109" s="99">
        <f t="shared" si="9"/>
        <v>57</v>
      </c>
      <c r="N109" s="99">
        <f>Tabla3[[#This Row],[NUMBER OF DAYS]]*Tabla3[[#This Row],[MAX. UNIT COST PER DAY]]</f>
        <v>399</v>
      </c>
      <c r="O109" t="s">
        <v>126</v>
      </c>
    </row>
    <row r="110" spans="1:34" x14ac:dyDescent="0.25">
      <c r="A110" s="94" t="s">
        <v>74</v>
      </c>
      <c r="B110" s="64" t="s">
        <v>55</v>
      </c>
      <c r="C110" s="64" t="s">
        <v>653</v>
      </c>
      <c r="D110" s="76" t="s">
        <v>449</v>
      </c>
      <c r="E110" s="75" t="s">
        <v>234</v>
      </c>
      <c r="F110" s="45" t="s">
        <v>219</v>
      </c>
      <c r="G110" s="45" t="s">
        <v>48</v>
      </c>
      <c r="H110" s="45" t="s">
        <v>210</v>
      </c>
      <c r="I110" s="45" t="s">
        <v>220</v>
      </c>
      <c r="J110" s="78">
        <v>43845</v>
      </c>
      <c r="K110" s="145">
        <v>44026</v>
      </c>
      <c r="L110" s="45">
        <v>5</v>
      </c>
      <c r="M110" s="99">
        <f t="shared" si="9"/>
        <v>57</v>
      </c>
      <c r="N110" s="99">
        <f>Tabla3[[#This Row],[NUMBER OF DAYS]]*Tabla3[[#This Row],[MAX. UNIT COST PER DAY]]</f>
        <v>285</v>
      </c>
      <c r="O110" t="s">
        <v>126</v>
      </c>
    </row>
    <row r="111" spans="1:34" x14ac:dyDescent="0.25">
      <c r="A111" s="94" t="s">
        <v>74</v>
      </c>
      <c r="B111" s="64" t="s">
        <v>55</v>
      </c>
      <c r="C111" s="64" t="s">
        <v>653</v>
      </c>
      <c r="D111" s="76" t="s">
        <v>449</v>
      </c>
      <c r="E111" s="75" t="s">
        <v>235</v>
      </c>
      <c r="F111" s="45" t="s">
        <v>221</v>
      </c>
      <c r="G111" s="45" t="s">
        <v>48</v>
      </c>
      <c r="H111" s="45" t="s">
        <v>210</v>
      </c>
      <c r="I111" s="45" t="s">
        <v>222</v>
      </c>
      <c r="J111" s="78">
        <v>43845</v>
      </c>
      <c r="K111" s="145">
        <v>44026</v>
      </c>
      <c r="L111" s="45">
        <v>8</v>
      </c>
      <c r="M111" s="99">
        <f t="shared" si="9"/>
        <v>57</v>
      </c>
      <c r="N111" s="99">
        <f>Tabla3[[#This Row],[NUMBER OF DAYS]]*Tabla3[[#This Row],[MAX. UNIT COST PER DAY]]</f>
        <v>456</v>
      </c>
      <c r="O111" t="s">
        <v>126</v>
      </c>
    </row>
    <row r="112" spans="1:34" x14ac:dyDescent="0.25">
      <c r="A112" s="94" t="s">
        <v>74</v>
      </c>
      <c r="B112" s="64" t="s">
        <v>55</v>
      </c>
      <c r="C112" s="64" t="s">
        <v>653</v>
      </c>
      <c r="D112" s="76" t="s">
        <v>449</v>
      </c>
      <c r="E112" s="75" t="s">
        <v>236</v>
      </c>
      <c r="F112" s="45" t="s">
        <v>223</v>
      </c>
      <c r="G112" s="45" t="s">
        <v>229</v>
      </c>
      <c r="H112" s="45" t="s">
        <v>210</v>
      </c>
      <c r="I112" s="45" t="s">
        <v>224</v>
      </c>
      <c r="J112" s="78">
        <v>43845</v>
      </c>
      <c r="K112" s="145">
        <v>44026</v>
      </c>
      <c r="L112" s="45">
        <v>8</v>
      </c>
      <c r="M112" s="99">
        <f t="shared" si="9"/>
        <v>32</v>
      </c>
      <c r="N112" s="99">
        <f>Tabla3[[#This Row],[NUMBER OF DAYS]]*Tabla3[[#This Row],[MAX. UNIT COST PER DAY]]</f>
        <v>256</v>
      </c>
      <c r="O112" t="s">
        <v>126</v>
      </c>
    </row>
    <row r="113" spans="1:34" x14ac:dyDescent="0.25">
      <c r="A113" s="193" t="s">
        <v>24</v>
      </c>
      <c r="B113" s="64" t="s">
        <v>55</v>
      </c>
      <c r="C113" s="64" t="s">
        <v>653</v>
      </c>
      <c r="D113" s="76" t="s">
        <v>449</v>
      </c>
      <c r="E113" s="75" t="s">
        <v>387</v>
      </c>
      <c r="F113" s="158" t="s">
        <v>221</v>
      </c>
      <c r="G113" s="158" t="s">
        <v>48</v>
      </c>
      <c r="H113" s="45" t="s">
        <v>225</v>
      </c>
      <c r="I113" s="179" t="s">
        <v>475</v>
      </c>
      <c r="J113" s="78">
        <v>44027</v>
      </c>
      <c r="K113" s="78">
        <v>44210</v>
      </c>
      <c r="L113" s="158">
        <v>10</v>
      </c>
      <c r="M113" s="99">
        <f t="shared" si="9"/>
        <v>57</v>
      </c>
      <c r="N113" s="160">
        <f>Tabla3[[#This Row],[NUMBER OF DAYS]]*Tabla3[[#This Row],[MAX. UNIT COST PER DAY]]</f>
        <v>570</v>
      </c>
      <c r="O113" s="183"/>
      <c r="P113" s="168"/>
      <c r="Q113" s="168"/>
      <c r="R113" s="168"/>
      <c r="S113" s="168"/>
      <c r="T113" s="168"/>
      <c r="U113" s="168"/>
      <c r="V113" s="168"/>
      <c r="W113" s="168"/>
      <c r="X113" s="168"/>
      <c r="Y113" s="168"/>
      <c r="Z113" s="168"/>
      <c r="AA113" s="168"/>
      <c r="AB113" s="168"/>
      <c r="AC113" s="168"/>
      <c r="AD113" s="168"/>
      <c r="AE113" s="168"/>
      <c r="AF113" s="168"/>
      <c r="AG113" s="168"/>
      <c r="AH113" s="168"/>
    </row>
    <row r="114" spans="1:34" x14ac:dyDescent="0.25">
      <c r="A114" s="193" t="s">
        <v>74</v>
      </c>
      <c r="B114" s="64" t="s">
        <v>55</v>
      </c>
      <c r="C114" s="64" t="s">
        <v>653</v>
      </c>
      <c r="D114" s="76" t="s">
        <v>449</v>
      </c>
      <c r="E114" s="75" t="s">
        <v>389</v>
      </c>
      <c r="F114" s="158" t="s">
        <v>388</v>
      </c>
      <c r="G114" s="158" t="s">
        <v>229</v>
      </c>
      <c r="H114" s="45" t="s">
        <v>210</v>
      </c>
      <c r="I114" s="179" t="s">
        <v>476</v>
      </c>
      <c r="J114" s="78">
        <v>44027</v>
      </c>
      <c r="K114" s="78">
        <v>44210</v>
      </c>
      <c r="L114" s="158">
        <v>5</v>
      </c>
      <c r="M114" s="99">
        <f t="shared" si="9"/>
        <v>32</v>
      </c>
      <c r="N114" s="160">
        <f>Tabla3[[#This Row],[NUMBER OF DAYS]]*Tabla3[[#This Row],[MAX. UNIT COST PER DAY]]</f>
        <v>160</v>
      </c>
      <c r="O114" s="183"/>
      <c r="P114" s="168"/>
      <c r="Q114" s="168"/>
      <c r="R114" s="168"/>
      <c r="S114" s="168"/>
      <c r="T114" s="168"/>
      <c r="U114" s="168"/>
      <c r="V114" s="168"/>
      <c r="W114" s="168"/>
      <c r="X114" s="168"/>
      <c r="Y114" s="168"/>
      <c r="Z114" s="168"/>
      <c r="AA114" s="168"/>
      <c r="AB114" s="168"/>
      <c r="AC114" s="168"/>
      <c r="AD114" s="168"/>
      <c r="AE114" s="168"/>
      <c r="AF114" s="168"/>
      <c r="AG114" s="168"/>
      <c r="AH114" s="168"/>
    </row>
    <row r="115" spans="1:34" x14ac:dyDescent="0.25">
      <c r="A115" s="193" t="s">
        <v>24</v>
      </c>
      <c r="B115" s="64" t="s">
        <v>55</v>
      </c>
      <c r="C115" s="64" t="s">
        <v>653</v>
      </c>
      <c r="D115" s="76" t="s">
        <v>449</v>
      </c>
      <c r="E115" s="75" t="s">
        <v>390</v>
      </c>
      <c r="F115" s="45" t="s">
        <v>219</v>
      </c>
      <c r="G115" s="45" t="s">
        <v>48</v>
      </c>
      <c r="H115" s="45" t="s">
        <v>225</v>
      </c>
      <c r="I115" s="179" t="s">
        <v>477</v>
      </c>
      <c r="J115" s="78">
        <v>44027</v>
      </c>
      <c r="K115" s="78">
        <v>44210</v>
      </c>
      <c r="L115" s="158">
        <v>10</v>
      </c>
      <c r="M115" s="99">
        <f t="shared" si="9"/>
        <v>57</v>
      </c>
      <c r="N115" s="160">
        <f>Tabla3[[#This Row],[NUMBER OF DAYS]]*Tabla3[[#This Row],[MAX. UNIT COST PER DAY]]</f>
        <v>570</v>
      </c>
      <c r="O115" s="183"/>
      <c r="P115" s="168"/>
      <c r="Q115" s="168"/>
      <c r="R115" s="168"/>
      <c r="S115" s="168"/>
      <c r="T115" s="168"/>
      <c r="U115" s="168"/>
      <c r="V115" s="168"/>
      <c r="W115" s="168"/>
      <c r="X115" s="168"/>
      <c r="Y115" s="168"/>
      <c r="Z115" s="168"/>
      <c r="AA115" s="168"/>
      <c r="AB115" s="168"/>
      <c r="AC115" s="168"/>
      <c r="AD115" s="168"/>
      <c r="AE115" s="168"/>
      <c r="AF115" s="168"/>
      <c r="AG115" s="168"/>
      <c r="AH115" s="168"/>
    </row>
    <row r="116" spans="1:34" x14ac:dyDescent="0.25">
      <c r="A116" s="193" t="s">
        <v>74</v>
      </c>
      <c r="B116" s="64" t="s">
        <v>55</v>
      </c>
      <c r="C116" s="64" t="s">
        <v>653</v>
      </c>
      <c r="D116" s="76" t="s">
        <v>449</v>
      </c>
      <c r="E116" s="75" t="s">
        <v>391</v>
      </c>
      <c r="F116" s="45" t="s">
        <v>217</v>
      </c>
      <c r="G116" s="45" t="s">
        <v>229</v>
      </c>
      <c r="H116" s="45" t="s">
        <v>210</v>
      </c>
      <c r="I116" s="45" t="s">
        <v>478</v>
      </c>
      <c r="J116" s="78">
        <v>44027</v>
      </c>
      <c r="K116" s="78">
        <v>44210</v>
      </c>
      <c r="L116" s="158">
        <v>10</v>
      </c>
      <c r="M116" s="99">
        <f t="shared" si="9"/>
        <v>32</v>
      </c>
      <c r="N116" s="160">
        <f>Tabla3[[#This Row],[NUMBER OF DAYS]]*Tabla3[[#This Row],[MAX. UNIT COST PER DAY]]</f>
        <v>320</v>
      </c>
      <c r="O116" s="183"/>
      <c r="P116" s="168"/>
      <c r="Q116" s="168"/>
      <c r="R116" s="168"/>
      <c r="S116" s="168"/>
      <c r="T116" s="168"/>
      <c r="U116" s="168"/>
      <c r="V116" s="168"/>
      <c r="W116" s="168"/>
      <c r="X116" s="168"/>
      <c r="Y116" s="168"/>
      <c r="Z116" s="168"/>
      <c r="AA116" s="168"/>
      <c r="AB116" s="168"/>
      <c r="AC116" s="168"/>
      <c r="AD116" s="168"/>
      <c r="AE116" s="168"/>
      <c r="AF116" s="168"/>
      <c r="AG116" s="168"/>
      <c r="AH116" s="168"/>
    </row>
    <row r="117" spans="1:34" x14ac:dyDescent="0.25">
      <c r="A117" s="193" t="s">
        <v>74</v>
      </c>
      <c r="B117" s="64" t="s">
        <v>55</v>
      </c>
      <c r="C117" s="64" t="s">
        <v>653</v>
      </c>
      <c r="D117" s="76" t="s">
        <v>449</v>
      </c>
      <c r="E117" s="75" t="s">
        <v>473</v>
      </c>
      <c r="F117" s="45" t="s">
        <v>215</v>
      </c>
      <c r="G117" s="45" t="s">
        <v>47</v>
      </c>
      <c r="H117" s="45" t="s">
        <v>210</v>
      </c>
      <c r="I117" s="192" t="s">
        <v>474</v>
      </c>
      <c r="J117" s="78">
        <v>44027</v>
      </c>
      <c r="K117" s="78">
        <v>44210</v>
      </c>
      <c r="L117" s="192">
        <v>10</v>
      </c>
      <c r="M117" s="99">
        <f t="shared" si="9"/>
        <v>77</v>
      </c>
      <c r="N117" s="160">
        <f>Tabla3[[#This Row],[NUMBER OF DAYS]]*Tabla3[[#This Row],[MAX. UNIT COST PER DAY]]</f>
        <v>770</v>
      </c>
      <c r="O117" s="183"/>
      <c r="P117" s="188"/>
      <c r="Q117" s="188"/>
      <c r="R117" s="188"/>
      <c r="S117" s="188"/>
      <c r="T117" s="188"/>
      <c r="U117" s="188"/>
      <c r="V117" s="188"/>
      <c r="W117" s="188"/>
      <c r="X117" s="188"/>
      <c r="Y117" s="188"/>
      <c r="Z117" s="188"/>
      <c r="AA117" s="188"/>
      <c r="AB117" s="188"/>
      <c r="AC117" s="188"/>
      <c r="AD117" s="188"/>
      <c r="AE117" s="188"/>
      <c r="AF117" s="188"/>
      <c r="AG117" s="188"/>
      <c r="AH117" s="188"/>
    </row>
    <row r="118" spans="1:34" x14ac:dyDescent="0.25">
      <c r="A118" s="193" t="s">
        <v>74</v>
      </c>
      <c r="B118" s="64" t="s">
        <v>55</v>
      </c>
      <c r="C118" s="64" t="s">
        <v>653</v>
      </c>
      <c r="D118" s="76" t="s">
        <v>449</v>
      </c>
      <c r="E118" s="75" t="s">
        <v>392</v>
      </c>
      <c r="F118" s="45" t="s">
        <v>214</v>
      </c>
      <c r="G118" s="45" t="s">
        <v>47</v>
      </c>
      <c r="H118" s="45" t="s">
        <v>210</v>
      </c>
      <c r="I118" s="45" t="s">
        <v>479</v>
      </c>
      <c r="J118" s="78">
        <v>44027</v>
      </c>
      <c r="K118" s="78">
        <v>44210</v>
      </c>
      <c r="L118" s="158">
        <v>10</v>
      </c>
      <c r="M118" s="99">
        <f t="shared" si="9"/>
        <v>77</v>
      </c>
      <c r="N118" s="160">
        <f>Tabla3[[#This Row],[NUMBER OF DAYS]]*Tabla3[[#This Row],[MAX. UNIT COST PER DAY]]</f>
        <v>770</v>
      </c>
      <c r="O118" s="183"/>
      <c r="P118" s="168"/>
      <c r="Q118" s="168"/>
      <c r="R118" s="168"/>
      <c r="S118" s="168"/>
      <c r="T118" s="168"/>
      <c r="U118" s="168"/>
      <c r="V118" s="168"/>
      <c r="W118" s="168"/>
      <c r="X118" s="168"/>
      <c r="Y118" s="168"/>
      <c r="Z118" s="168"/>
      <c r="AA118" s="168"/>
      <c r="AB118" s="168"/>
      <c r="AC118" s="168"/>
      <c r="AD118" s="168"/>
      <c r="AE118" s="168"/>
      <c r="AF118" s="168"/>
      <c r="AG118" s="168"/>
      <c r="AH118" s="168"/>
    </row>
    <row r="119" spans="1:34" x14ac:dyDescent="0.25">
      <c r="A119" s="194" t="s">
        <v>74</v>
      </c>
      <c r="B119" s="64" t="s">
        <v>55</v>
      </c>
      <c r="C119" s="64" t="s">
        <v>653</v>
      </c>
      <c r="D119" s="76" t="s">
        <v>449</v>
      </c>
      <c r="E119" s="75" t="s">
        <v>567</v>
      </c>
      <c r="F119" s="45" t="s">
        <v>215</v>
      </c>
      <c r="G119" s="45" t="s">
        <v>47</v>
      </c>
      <c r="H119" s="45" t="s">
        <v>210</v>
      </c>
      <c r="I119" s="192" t="s">
        <v>566</v>
      </c>
      <c r="J119" s="196">
        <v>44211</v>
      </c>
      <c r="K119" s="196">
        <v>44391</v>
      </c>
      <c r="L119" s="192">
        <v>5</v>
      </c>
      <c r="M119" s="99">
        <f t="shared" si="9"/>
        <v>77</v>
      </c>
      <c r="N119" s="160">
        <f>Tabla3[[#This Row],[NUMBER OF DAYS]]*Tabla3[[#This Row],[MAX. UNIT COST PER DAY]]</f>
        <v>385</v>
      </c>
      <c r="O119" s="183"/>
      <c r="P119" s="188"/>
      <c r="Q119" s="188"/>
      <c r="R119" s="188"/>
      <c r="S119" s="188"/>
      <c r="T119" s="188"/>
      <c r="U119" s="188"/>
      <c r="V119" s="188"/>
      <c r="W119" s="188"/>
      <c r="X119" s="188"/>
      <c r="Y119" s="188"/>
      <c r="Z119" s="188"/>
      <c r="AA119" s="188"/>
      <c r="AB119" s="188"/>
      <c r="AC119" s="188"/>
      <c r="AD119" s="188"/>
      <c r="AE119" s="188"/>
      <c r="AF119" s="188"/>
      <c r="AG119" s="188"/>
      <c r="AH119" s="188"/>
    </row>
    <row r="120" spans="1:34" x14ac:dyDescent="0.25">
      <c r="A120" s="194" t="s">
        <v>74</v>
      </c>
      <c r="B120" s="64" t="s">
        <v>55</v>
      </c>
      <c r="C120" s="64" t="s">
        <v>653</v>
      </c>
      <c r="D120" s="76" t="s">
        <v>449</v>
      </c>
      <c r="E120" s="75" t="s">
        <v>568</v>
      </c>
      <c r="F120" s="45" t="s">
        <v>217</v>
      </c>
      <c r="G120" s="158" t="s">
        <v>229</v>
      </c>
      <c r="H120" s="45" t="s">
        <v>210</v>
      </c>
      <c r="I120" s="192" t="s">
        <v>569</v>
      </c>
      <c r="J120" s="196">
        <v>44211</v>
      </c>
      <c r="K120" s="196">
        <v>44391</v>
      </c>
      <c r="L120" s="192">
        <v>5</v>
      </c>
      <c r="M120" s="99">
        <f t="shared" si="9"/>
        <v>32</v>
      </c>
      <c r="N120" s="160">
        <f>Tabla3[[#This Row],[NUMBER OF DAYS]]*Tabla3[[#This Row],[MAX. UNIT COST PER DAY]]</f>
        <v>160</v>
      </c>
      <c r="O120" s="183"/>
      <c r="P120" s="188"/>
      <c r="Q120" s="188"/>
      <c r="R120" s="188"/>
      <c r="S120" s="188"/>
      <c r="T120" s="188"/>
      <c r="U120" s="188"/>
      <c r="V120" s="188"/>
      <c r="W120" s="188"/>
      <c r="X120" s="188"/>
      <c r="Y120" s="188"/>
      <c r="Z120" s="188"/>
      <c r="AA120" s="188"/>
      <c r="AB120" s="188"/>
      <c r="AC120" s="188"/>
      <c r="AD120" s="188"/>
      <c r="AE120" s="188"/>
      <c r="AF120" s="188"/>
      <c r="AG120" s="188"/>
      <c r="AH120" s="188"/>
    </row>
    <row r="121" spans="1:34" x14ac:dyDescent="0.25">
      <c r="A121" s="194" t="s">
        <v>72</v>
      </c>
      <c r="B121" s="64" t="s">
        <v>55</v>
      </c>
      <c r="C121" s="64" t="s">
        <v>653</v>
      </c>
      <c r="D121" s="76" t="s">
        <v>449</v>
      </c>
      <c r="E121" s="75" t="s">
        <v>571</v>
      </c>
      <c r="F121" s="45" t="s">
        <v>214</v>
      </c>
      <c r="G121" s="192" t="s">
        <v>47</v>
      </c>
      <c r="H121" s="45" t="s">
        <v>212</v>
      </c>
      <c r="I121" s="192" t="s">
        <v>570</v>
      </c>
      <c r="J121" s="196">
        <v>44211</v>
      </c>
      <c r="K121" s="196">
        <v>44391</v>
      </c>
      <c r="L121" s="192">
        <v>5</v>
      </c>
      <c r="M121" s="99">
        <f t="shared" si="9"/>
        <v>77</v>
      </c>
      <c r="N121" s="160">
        <f>Tabla3[[#This Row],[NUMBER OF DAYS]]*Tabla3[[#This Row],[MAX. UNIT COST PER DAY]]</f>
        <v>385</v>
      </c>
      <c r="O121" s="183"/>
      <c r="P121" s="188"/>
      <c r="Q121" s="188"/>
      <c r="R121" s="188"/>
      <c r="S121" s="188"/>
      <c r="T121" s="188"/>
      <c r="U121" s="188"/>
      <c r="V121" s="188"/>
      <c r="W121" s="188"/>
      <c r="X121" s="188"/>
      <c r="Y121" s="188"/>
      <c r="Z121" s="188"/>
      <c r="AA121" s="188"/>
      <c r="AB121" s="188"/>
      <c r="AC121" s="188"/>
      <c r="AD121" s="188"/>
      <c r="AE121" s="188"/>
      <c r="AF121" s="188"/>
      <c r="AG121" s="188"/>
      <c r="AH121" s="188"/>
    </row>
    <row r="122" spans="1:34" x14ac:dyDescent="0.25">
      <c r="A122" s="194" t="s">
        <v>24</v>
      </c>
      <c r="B122" s="64" t="s">
        <v>55</v>
      </c>
      <c r="C122" s="64" t="s">
        <v>653</v>
      </c>
      <c r="D122" s="76" t="s">
        <v>449</v>
      </c>
      <c r="E122" s="75" t="s">
        <v>572</v>
      </c>
      <c r="F122" s="158" t="s">
        <v>221</v>
      </c>
      <c r="G122" s="192" t="s">
        <v>48</v>
      </c>
      <c r="H122" s="45" t="s">
        <v>225</v>
      </c>
      <c r="I122" s="192" t="s">
        <v>573</v>
      </c>
      <c r="J122" s="196">
        <v>44211</v>
      </c>
      <c r="K122" s="196">
        <v>44391</v>
      </c>
      <c r="L122" s="192">
        <v>5</v>
      </c>
      <c r="M122" s="99">
        <f t="shared" si="9"/>
        <v>57</v>
      </c>
      <c r="N122" s="160">
        <f>Tabla3[[#This Row],[NUMBER OF DAYS]]*Tabla3[[#This Row],[MAX. UNIT COST PER DAY]]</f>
        <v>285</v>
      </c>
      <c r="O122" s="183"/>
      <c r="P122" s="188"/>
      <c r="Q122" s="188"/>
      <c r="R122" s="188"/>
      <c r="S122" s="188"/>
      <c r="T122" s="188"/>
      <c r="U122" s="188"/>
      <c r="V122" s="188"/>
      <c r="W122" s="188"/>
      <c r="X122" s="188"/>
      <c r="Y122" s="188"/>
      <c r="Z122" s="188"/>
      <c r="AA122" s="188"/>
      <c r="AB122" s="188"/>
      <c r="AC122" s="188"/>
      <c r="AD122" s="188"/>
      <c r="AE122" s="188"/>
      <c r="AF122" s="188"/>
      <c r="AG122" s="188"/>
      <c r="AH122" s="188"/>
    </row>
    <row r="123" spans="1:34" x14ac:dyDescent="0.25">
      <c r="A123" s="194" t="s">
        <v>72</v>
      </c>
      <c r="B123" s="64" t="s">
        <v>55</v>
      </c>
      <c r="C123" s="64" t="s">
        <v>653</v>
      </c>
      <c r="D123" s="76" t="s">
        <v>449</v>
      </c>
      <c r="E123" s="75" t="s">
        <v>574</v>
      </c>
      <c r="F123" s="158" t="s">
        <v>388</v>
      </c>
      <c r="G123" s="192" t="s">
        <v>229</v>
      </c>
      <c r="H123" s="45" t="s">
        <v>212</v>
      </c>
      <c r="I123" s="192" t="s">
        <v>575</v>
      </c>
      <c r="J123" s="196">
        <v>44211</v>
      </c>
      <c r="K123" s="196">
        <v>44391</v>
      </c>
      <c r="L123" s="192">
        <v>3</v>
      </c>
      <c r="M123" s="99">
        <f t="shared" si="9"/>
        <v>32</v>
      </c>
      <c r="N123" s="160">
        <f>Tabla3[[#This Row],[NUMBER OF DAYS]]*Tabla3[[#This Row],[MAX. UNIT COST PER DAY]]</f>
        <v>96</v>
      </c>
      <c r="O123" s="183"/>
      <c r="P123" s="188"/>
      <c r="Q123" s="188"/>
      <c r="R123" s="188"/>
      <c r="S123" s="188"/>
      <c r="T123" s="188"/>
      <c r="U123" s="188"/>
      <c r="V123" s="188"/>
      <c r="W123" s="188"/>
      <c r="X123" s="188"/>
      <c r="Y123" s="188"/>
      <c r="Z123" s="188"/>
      <c r="AA123" s="188"/>
      <c r="AB123" s="188"/>
      <c r="AC123" s="188"/>
      <c r="AD123" s="188"/>
      <c r="AE123" s="188"/>
      <c r="AF123" s="188"/>
      <c r="AG123" s="188"/>
      <c r="AH123" s="188"/>
    </row>
    <row r="124" spans="1:34" x14ac:dyDescent="0.25">
      <c r="A124" s="194" t="s">
        <v>73</v>
      </c>
      <c r="B124" s="64" t="s">
        <v>55</v>
      </c>
      <c r="C124" s="64" t="s">
        <v>653</v>
      </c>
      <c r="D124" s="76" t="s">
        <v>449</v>
      </c>
      <c r="E124" s="75" t="s">
        <v>574</v>
      </c>
      <c r="F124" s="45" t="s">
        <v>388</v>
      </c>
      <c r="G124" s="192" t="s">
        <v>229</v>
      </c>
      <c r="H124" s="45" t="s">
        <v>213</v>
      </c>
      <c r="I124" s="192" t="s">
        <v>576</v>
      </c>
      <c r="J124" s="196">
        <v>44211</v>
      </c>
      <c r="K124" s="196">
        <v>44391</v>
      </c>
      <c r="L124" s="192">
        <v>2</v>
      </c>
      <c r="M124" s="99">
        <f t="shared" si="9"/>
        <v>32</v>
      </c>
      <c r="N124" s="160">
        <f>Tabla3[[#This Row],[NUMBER OF DAYS]]*Tabla3[[#This Row],[MAX. UNIT COST PER DAY]]</f>
        <v>64</v>
      </c>
      <c r="O124" s="183"/>
      <c r="P124" s="188"/>
      <c r="Q124" s="188"/>
      <c r="R124" s="188"/>
      <c r="S124" s="188"/>
      <c r="T124" s="188"/>
      <c r="U124" s="188"/>
      <c r="V124" s="188"/>
      <c r="W124" s="188"/>
      <c r="X124" s="188"/>
      <c r="Y124" s="188"/>
      <c r="Z124" s="188"/>
      <c r="AA124" s="188"/>
      <c r="AB124" s="188"/>
      <c r="AC124" s="188"/>
      <c r="AD124" s="188"/>
      <c r="AE124" s="188"/>
      <c r="AF124" s="188"/>
      <c r="AG124" s="188"/>
      <c r="AH124" s="188"/>
    </row>
    <row r="125" spans="1:34" x14ac:dyDescent="0.25">
      <c r="A125" s="194" t="s">
        <v>24</v>
      </c>
      <c r="B125" s="64" t="s">
        <v>55</v>
      </c>
      <c r="C125" s="64" t="s">
        <v>653</v>
      </c>
      <c r="D125" s="76" t="s">
        <v>449</v>
      </c>
      <c r="E125" s="75" t="s">
        <v>577</v>
      </c>
      <c r="F125" s="45" t="s">
        <v>219</v>
      </c>
      <c r="G125" s="192" t="s">
        <v>48</v>
      </c>
      <c r="H125" s="45" t="s">
        <v>225</v>
      </c>
      <c r="I125" s="45" t="s">
        <v>578</v>
      </c>
      <c r="J125" s="196">
        <v>44211</v>
      </c>
      <c r="K125" s="196">
        <v>44391</v>
      </c>
      <c r="L125" s="192">
        <v>5</v>
      </c>
      <c r="M125" s="99">
        <f t="shared" si="9"/>
        <v>57</v>
      </c>
      <c r="N125" s="160">
        <f>Tabla3[[#This Row],[NUMBER OF DAYS]]*Tabla3[[#This Row],[MAX. UNIT COST PER DAY]]</f>
        <v>285</v>
      </c>
      <c r="O125" s="183"/>
      <c r="P125" s="188"/>
      <c r="Q125" s="188"/>
      <c r="R125" s="188"/>
      <c r="S125" s="188"/>
      <c r="T125" s="188"/>
      <c r="U125" s="188"/>
      <c r="V125" s="188"/>
      <c r="W125" s="188"/>
      <c r="X125" s="188"/>
      <c r="Y125" s="188"/>
      <c r="Z125" s="188"/>
      <c r="AA125" s="188"/>
      <c r="AB125" s="188"/>
      <c r="AC125" s="188"/>
      <c r="AD125" s="188"/>
      <c r="AE125" s="188"/>
      <c r="AF125" s="188"/>
      <c r="AG125" s="188"/>
      <c r="AH125" s="188"/>
    </row>
    <row r="126" spans="1:34" x14ac:dyDescent="0.25">
      <c r="A126" s="194" t="s">
        <v>24</v>
      </c>
      <c r="B126" s="64" t="s">
        <v>55</v>
      </c>
      <c r="C126" s="64" t="s">
        <v>653</v>
      </c>
      <c r="D126" s="76" t="s">
        <v>449</v>
      </c>
      <c r="E126" s="75" t="s">
        <v>622</v>
      </c>
      <c r="F126" s="45" t="s">
        <v>621</v>
      </c>
      <c r="G126" s="45" t="s">
        <v>48</v>
      </c>
      <c r="H126" s="45" t="s">
        <v>225</v>
      </c>
      <c r="I126" s="45" t="s">
        <v>620</v>
      </c>
      <c r="J126" s="196">
        <v>44211</v>
      </c>
      <c r="K126" s="196">
        <v>44391</v>
      </c>
      <c r="L126" s="45">
        <v>8</v>
      </c>
      <c r="M126" s="99">
        <f t="shared" si="9"/>
        <v>57</v>
      </c>
      <c r="N126" s="160">
        <f>Tabla3[[#This Row],[NUMBER OF DAYS]]*Tabla3[[#This Row],[MAX. UNIT COST PER DAY]]</f>
        <v>456</v>
      </c>
      <c r="O126" s="183"/>
      <c r="P126" s="188"/>
      <c r="Q126" s="188"/>
      <c r="R126" s="188"/>
      <c r="S126" s="188"/>
      <c r="T126" s="188"/>
      <c r="U126" s="188"/>
      <c r="V126" s="188"/>
      <c r="W126" s="188"/>
      <c r="X126" s="188"/>
      <c r="Y126" s="188"/>
      <c r="Z126" s="188"/>
      <c r="AA126" s="188"/>
      <c r="AB126" s="188"/>
      <c r="AC126" s="188"/>
      <c r="AD126" s="188"/>
      <c r="AE126" s="188"/>
      <c r="AF126" s="188"/>
      <c r="AG126" s="188"/>
      <c r="AH126" s="188"/>
    </row>
    <row r="127" spans="1:34" x14ac:dyDescent="0.25">
      <c r="A127" s="194" t="s">
        <v>24</v>
      </c>
      <c r="B127" s="64" t="s">
        <v>55</v>
      </c>
      <c r="C127" s="64" t="s">
        <v>653</v>
      </c>
      <c r="D127" s="76" t="s">
        <v>449</v>
      </c>
      <c r="E127" s="75" t="s">
        <v>624</v>
      </c>
      <c r="F127" s="45" t="s">
        <v>623</v>
      </c>
      <c r="G127" s="45" t="s">
        <v>48</v>
      </c>
      <c r="H127" s="45" t="s">
        <v>225</v>
      </c>
      <c r="I127" s="45" t="s">
        <v>620</v>
      </c>
      <c r="J127" s="196">
        <v>44211</v>
      </c>
      <c r="K127" s="196">
        <v>44391</v>
      </c>
      <c r="L127" s="45">
        <v>8</v>
      </c>
      <c r="M127" s="99">
        <f t="shared" si="9"/>
        <v>57</v>
      </c>
      <c r="N127" s="160">
        <f>Tabla3[[#This Row],[NUMBER OF DAYS]]*Tabla3[[#This Row],[MAX. UNIT COST PER DAY]]</f>
        <v>456</v>
      </c>
      <c r="O127" s="183"/>
      <c r="P127" s="188"/>
      <c r="Q127" s="188"/>
      <c r="R127" s="188"/>
      <c r="S127" s="188"/>
      <c r="T127" s="188"/>
      <c r="U127" s="188"/>
      <c r="V127" s="188"/>
      <c r="W127" s="188"/>
      <c r="X127" s="188"/>
      <c r="Y127" s="188"/>
      <c r="Z127" s="188"/>
      <c r="AA127" s="188"/>
      <c r="AB127" s="188"/>
      <c r="AC127" s="188"/>
      <c r="AD127" s="188"/>
      <c r="AE127" s="188"/>
      <c r="AF127" s="188"/>
      <c r="AG127" s="188"/>
      <c r="AH127" s="188"/>
    </row>
    <row r="128" spans="1:34" x14ac:dyDescent="0.25">
      <c r="A128" s="217" t="s">
        <v>74</v>
      </c>
      <c r="B128" s="64" t="s">
        <v>55</v>
      </c>
      <c r="C128" s="64" t="s">
        <v>653</v>
      </c>
      <c r="D128" s="76" t="s">
        <v>449</v>
      </c>
      <c r="E128" s="75" t="s">
        <v>688</v>
      </c>
      <c r="F128" s="45" t="s">
        <v>215</v>
      </c>
      <c r="G128" s="208" t="s">
        <v>47</v>
      </c>
      <c r="H128" s="45" t="s">
        <v>210</v>
      </c>
      <c r="I128" s="208" t="s">
        <v>704</v>
      </c>
      <c r="J128" s="210">
        <v>44392</v>
      </c>
      <c r="K128" s="210">
        <v>44561</v>
      </c>
      <c r="L128" s="208">
        <v>10</v>
      </c>
      <c r="M128" s="99">
        <f t="shared" ref="M128:M134" si="10">IF(AND(G128="Manager",D128="Spain"),164,IF(AND(G128="Teacher/Trainer/Researcher",D128="Spain"),137,IF(AND(G128="Technical Staff",D128="Spain"),102,IF(AND(G128="Administrative staff",D128="Spain"),78,IF(AND(G128="Manager",D128="Slovenia"),164,IF(AND(G128="Teacher/Trainer/Researcher",D128="Slovenia"),137,IF(AND(G128="Technical Staff",D128="Slovenia"),102,IF(AND(G128="Administrative staff",D128="Slovenia"),78,IF(AND(G128="Manager",D128="Italy"),280,IF(AND(G128="Teacher/Trainer/Researcher",D128="Italy"),214,IF(AND(G128="Technical Staff",D128="Italy"),162,IF(AND(G128="Administrative staff",D128="Italy"),131,IF(AND(G128="Manager",D128="Kazakhstan"),77,IF(AND(G128="Teacher/Trainer/Researcher",D128="Kazakhstan"),57,IF(AND(G128="Technical Staff",D128="Kazakhstan"),40,IF(AND(G128="Administrative staff",D128="Kazakhstan"),32,IF(AND(G128="Manager",D128="Turkmenistan"),47,IF(AND(G128="Teacher/Trainer/Researcher",D128="Turkmenistan"),33,IF(AND(G128="Technical Staff",D128="Turkmenistan"),22,IF(AND(G128="Administrative staff",D128="Turkmenistan"),17,IF(AND(G128="Manager",D128="Tajikistan"),47,IF(AND(G128="Teacher/Trainer/Researcher",D128="Tajikistan"),33,IF(AND(G128="Technical Staff",D128="Tajikistan"),22,IF(AND(G128="Administrative staff",D128="Tajikistan"),17,))))))))))))))))))))))))</f>
        <v>77</v>
      </c>
      <c r="N128" s="160">
        <f>Tabla3[[#This Row],[NUMBER OF DAYS]]*Tabla3[[#This Row],[MAX. UNIT COST PER DAY]]</f>
        <v>770</v>
      </c>
      <c r="O128" s="183"/>
      <c r="P128" s="188"/>
      <c r="Q128" s="188"/>
      <c r="R128" s="188"/>
      <c r="S128" s="188"/>
      <c r="T128" s="188"/>
      <c r="U128" s="188"/>
      <c r="V128" s="188"/>
      <c r="W128" s="188"/>
      <c r="X128" s="188"/>
      <c r="Y128" s="188"/>
      <c r="Z128" s="188"/>
      <c r="AA128" s="188"/>
      <c r="AB128" s="188"/>
      <c r="AC128" s="188"/>
      <c r="AD128" s="188"/>
      <c r="AE128" s="188"/>
      <c r="AF128" s="188"/>
      <c r="AG128" s="188"/>
      <c r="AH128" s="188"/>
    </row>
    <row r="129" spans="1:34" x14ac:dyDescent="0.25">
      <c r="A129" s="217" t="s">
        <v>74</v>
      </c>
      <c r="B129" s="64" t="s">
        <v>55</v>
      </c>
      <c r="C129" s="64" t="s">
        <v>653</v>
      </c>
      <c r="D129" s="76" t="s">
        <v>449</v>
      </c>
      <c r="E129" s="75" t="s">
        <v>689</v>
      </c>
      <c r="F129" s="45" t="s">
        <v>217</v>
      </c>
      <c r="G129" s="208" t="s">
        <v>229</v>
      </c>
      <c r="H129" s="45" t="s">
        <v>210</v>
      </c>
      <c r="I129" s="208" t="s">
        <v>706</v>
      </c>
      <c r="J129" s="210">
        <v>44392</v>
      </c>
      <c r="K129" s="210">
        <v>44561</v>
      </c>
      <c r="L129" s="208">
        <v>5</v>
      </c>
      <c r="M129" s="99">
        <f t="shared" si="10"/>
        <v>32</v>
      </c>
      <c r="N129" s="160">
        <f>Tabla3[[#This Row],[NUMBER OF DAYS]]*Tabla3[[#This Row],[MAX. UNIT COST PER DAY]]</f>
        <v>160</v>
      </c>
      <c r="O129" s="183"/>
      <c r="P129" s="188"/>
      <c r="Q129" s="188"/>
      <c r="R129" s="188"/>
      <c r="S129" s="188"/>
      <c r="T129" s="188"/>
      <c r="U129" s="188"/>
      <c r="V129" s="188"/>
      <c r="W129" s="188"/>
      <c r="X129" s="188"/>
      <c r="Y129" s="188"/>
      <c r="Z129" s="188"/>
      <c r="AA129" s="188"/>
      <c r="AB129" s="188"/>
      <c r="AC129" s="188"/>
      <c r="AD129" s="188"/>
      <c r="AE129" s="188"/>
      <c r="AF129" s="188"/>
      <c r="AG129" s="188"/>
      <c r="AH129" s="188"/>
    </row>
    <row r="130" spans="1:34" x14ac:dyDescent="0.25">
      <c r="A130" s="217" t="s">
        <v>24</v>
      </c>
      <c r="B130" s="64" t="s">
        <v>55</v>
      </c>
      <c r="C130" s="64" t="s">
        <v>653</v>
      </c>
      <c r="D130" s="76" t="s">
        <v>449</v>
      </c>
      <c r="E130" s="75" t="s">
        <v>699</v>
      </c>
      <c r="F130" s="45" t="s">
        <v>214</v>
      </c>
      <c r="G130" s="216" t="s">
        <v>47</v>
      </c>
      <c r="H130" s="45" t="s">
        <v>225</v>
      </c>
      <c r="I130" s="208" t="s">
        <v>705</v>
      </c>
      <c r="J130" s="210">
        <v>44392</v>
      </c>
      <c r="K130" s="210">
        <v>44561</v>
      </c>
      <c r="L130" s="208">
        <v>13</v>
      </c>
      <c r="M130" s="99">
        <f t="shared" si="10"/>
        <v>77</v>
      </c>
      <c r="N130" s="160">
        <f>Tabla3[[#This Row],[NUMBER OF DAYS]]*Tabla3[[#This Row],[MAX. UNIT COST PER DAY]]</f>
        <v>1001</v>
      </c>
      <c r="O130" s="183"/>
      <c r="P130" s="188"/>
      <c r="Q130" s="188"/>
      <c r="R130" s="188"/>
      <c r="S130" s="188"/>
      <c r="T130" s="188"/>
      <c r="U130" s="188"/>
      <c r="V130" s="188"/>
      <c r="W130" s="188"/>
      <c r="X130" s="188"/>
      <c r="Y130" s="188"/>
      <c r="Z130" s="188"/>
      <c r="AA130" s="188"/>
      <c r="AB130" s="188"/>
      <c r="AC130" s="188"/>
      <c r="AD130" s="188"/>
      <c r="AE130" s="188"/>
      <c r="AF130" s="188"/>
      <c r="AG130" s="188"/>
      <c r="AH130" s="188"/>
    </row>
    <row r="131" spans="1:34" x14ac:dyDescent="0.25">
      <c r="A131" s="94" t="s">
        <v>24</v>
      </c>
      <c r="B131" s="64" t="s">
        <v>55</v>
      </c>
      <c r="C131" s="64" t="s">
        <v>653</v>
      </c>
      <c r="D131" s="76" t="s">
        <v>449</v>
      </c>
      <c r="E131" s="75" t="s">
        <v>700</v>
      </c>
      <c r="F131" s="158" t="s">
        <v>221</v>
      </c>
      <c r="G131" s="45" t="s">
        <v>48</v>
      </c>
      <c r="H131" s="45" t="s">
        <v>225</v>
      </c>
      <c r="I131" s="208" t="s">
        <v>707</v>
      </c>
      <c r="J131" s="210">
        <v>44392</v>
      </c>
      <c r="K131" s="210">
        <v>44561</v>
      </c>
      <c r="L131" s="208">
        <v>4</v>
      </c>
      <c r="M131" s="99">
        <f t="shared" si="10"/>
        <v>57</v>
      </c>
      <c r="N131" s="160">
        <f>Tabla3[[#This Row],[NUMBER OF DAYS]]*Tabla3[[#This Row],[MAX. UNIT COST PER DAY]]</f>
        <v>228</v>
      </c>
      <c r="O131" s="183"/>
      <c r="P131" s="188"/>
      <c r="Q131" s="188"/>
      <c r="R131" s="188"/>
      <c r="S131" s="188"/>
      <c r="T131" s="188"/>
      <c r="U131" s="188"/>
      <c r="V131" s="188"/>
      <c r="W131" s="188"/>
      <c r="X131" s="188"/>
      <c r="Y131" s="188"/>
      <c r="Z131" s="188"/>
      <c r="AA131" s="188"/>
      <c r="AB131" s="188"/>
      <c r="AC131" s="188"/>
      <c r="AD131" s="188"/>
      <c r="AE131" s="188"/>
      <c r="AF131" s="188"/>
      <c r="AG131" s="188"/>
      <c r="AH131" s="188"/>
    </row>
    <row r="132" spans="1:34" x14ac:dyDescent="0.25">
      <c r="A132" s="207" t="s">
        <v>24</v>
      </c>
      <c r="B132" s="64" t="s">
        <v>55</v>
      </c>
      <c r="C132" s="64" t="s">
        <v>653</v>
      </c>
      <c r="D132" s="76" t="s">
        <v>449</v>
      </c>
      <c r="E132" s="75" t="s">
        <v>701</v>
      </c>
      <c r="F132" s="158" t="s">
        <v>388</v>
      </c>
      <c r="G132" s="208" t="s">
        <v>229</v>
      </c>
      <c r="H132" s="45" t="s">
        <v>225</v>
      </c>
      <c r="I132" s="208" t="s">
        <v>708</v>
      </c>
      <c r="J132" s="210">
        <v>44392</v>
      </c>
      <c r="K132" s="210">
        <v>44561</v>
      </c>
      <c r="L132" s="208">
        <v>8</v>
      </c>
      <c r="M132" s="99">
        <f t="shared" si="10"/>
        <v>32</v>
      </c>
      <c r="N132" s="160">
        <f>Tabla3[[#This Row],[NUMBER OF DAYS]]*Tabla3[[#This Row],[MAX. UNIT COST PER DAY]]</f>
        <v>256</v>
      </c>
      <c r="O132" s="183"/>
      <c r="P132" s="188"/>
      <c r="Q132" s="188"/>
      <c r="R132" s="188"/>
      <c r="S132" s="188"/>
      <c r="T132" s="188"/>
      <c r="U132" s="188"/>
      <c r="V132" s="188"/>
      <c r="W132" s="188"/>
      <c r="X132" s="188"/>
      <c r="Y132" s="188"/>
      <c r="Z132" s="188"/>
      <c r="AA132" s="188"/>
      <c r="AB132" s="188"/>
      <c r="AC132" s="188"/>
      <c r="AD132" s="188"/>
      <c r="AE132" s="188"/>
      <c r="AF132" s="188"/>
      <c r="AG132" s="188"/>
      <c r="AH132" s="188"/>
    </row>
    <row r="133" spans="1:34" x14ac:dyDescent="0.25">
      <c r="A133" s="207" t="s">
        <v>24</v>
      </c>
      <c r="B133" s="64" t="s">
        <v>55</v>
      </c>
      <c r="C133" s="64" t="s">
        <v>653</v>
      </c>
      <c r="D133" s="76" t="s">
        <v>449</v>
      </c>
      <c r="E133" s="75" t="s">
        <v>702</v>
      </c>
      <c r="F133" s="45" t="s">
        <v>219</v>
      </c>
      <c r="G133" s="208" t="s">
        <v>48</v>
      </c>
      <c r="H133" s="45" t="s">
        <v>225</v>
      </c>
      <c r="I133" s="208" t="s">
        <v>709</v>
      </c>
      <c r="J133" s="210">
        <v>44392</v>
      </c>
      <c r="K133" s="210">
        <v>44561</v>
      </c>
      <c r="L133" s="208">
        <v>12</v>
      </c>
      <c r="M133" s="99">
        <f t="shared" si="10"/>
        <v>57</v>
      </c>
      <c r="N133" s="160">
        <f>Tabla3[[#This Row],[NUMBER OF DAYS]]*Tabla3[[#This Row],[MAX. UNIT COST PER DAY]]</f>
        <v>684</v>
      </c>
      <c r="O133" s="183"/>
      <c r="P133" s="188"/>
      <c r="Q133" s="188"/>
      <c r="R133" s="188"/>
      <c r="S133" s="188"/>
      <c r="T133" s="188"/>
      <c r="U133" s="188"/>
      <c r="V133" s="188"/>
      <c r="W133" s="188"/>
      <c r="X133" s="188"/>
      <c r="Y133" s="188"/>
      <c r="Z133" s="188"/>
      <c r="AA133" s="188"/>
      <c r="AB133" s="188"/>
      <c r="AC133" s="188"/>
      <c r="AD133" s="188"/>
      <c r="AE133" s="188"/>
      <c r="AF133" s="188"/>
      <c r="AG133" s="188"/>
      <c r="AH133" s="188"/>
    </row>
    <row r="134" spans="1:34" x14ac:dyDescent="0.25">
      <c r="A134" s="207" t="s">
        <v>24</v>
      </c>
      <c r="B134" s="64" t="s">
        <v>55</v>
      </c>
      <c r="C134" s="64" t="s">
        <v>653</v>
      </c>
      <c r="D134" s="76" t="s">
        <v>449</v>
      </c>
      <c r="E134" s="75" t="s">
        <v>703</v>
      </c>
      <c r="F134" s="45" t="s">
        <v>623</v>
      </c>
      <c r="G134" s="208" t="s">
        <v>48</v>
      </c>
      <c r="H134" s="45" t="s">
        <v>225</v>
      </c>
      <c r="I134" s="45" t="s">
        <v>710</v>
      </c>
      <c r="J134" s="210">
        <v>44392</v>
      </c>
      <c r="K134" s="210">
        <v>44561</v>
      </c>
      <c r="L134" s="208">
        <v>3</v>
      </c>
      <c r="M134" s="99">
        <f t="shared" si="10"/>
        <v>57</v>
      </c>
      <c r="N134" s="160">
        <f>Tabla3[[#This Row],[NUMBER OF DAYS]]*Tabla3[[#This Row],[MAX. UNIT COST PER DAY]]</f>
        <v>171</v>
      </c>
      <c r="O134" s="183"/>
      <c r="P134" s="188"/>
      <c r="Q134" s="188"/>
      <c r="R134" s="188"/>
      <c r="S134" s="188"/>
      <c r="T134" s="188"/>
      <c r="U134" s="188"/>
      <c r="V134" s="188"/>
      <c r="W134" s="188"/>
      <c r="X134" s="188"/>
      <c r="Y134" s="188"/>
      <c r="Z134" s="188"/>
      <c r="AA134" s="188"/>
      <c r="AB134" s="188"/>
      <c r="AC134" s="188"/>
      <c r="AD134" s="188"/>
      <c r="AE134" s="188"/>
      <c r="AF134" s="188"/>
      <c r="AG134" s="188"/>
      <c r="AH134" s="188"/>
    </row>
    <row r="135" spans="1:34" x14ac:dyDescent="0.25">
      <c r="A135" s="89"/>
      <c r="B135" s="66"/>
      <c r="C135" s="66"/>
      <c r="D135" s="69"/>
      <c r="E135" s="91"/>
      <c r="F135" s="89"/>
      <c r="G135" s="89"/>
      <c r="H135" s="89"/>
      <c r="I135" s="89"/>
      <c r="J135" s="91"/>
      <c r="K135" s="91"/>
      <c r="L135" s="89"/>
      <c r="M135" s="102">
        <f>Tabla3[[#This Row],[TO]]*Tabla3[[#This Row],[NUMBER OF DAYS]]</f>
        <v>0</v>
      </c>
      <c r="N135" s="102">
        <f>Tabla3[[#This Row],[NUMBER OF DAYS]]*Tabla3[[#This Row],[MAX. UNIT COST PER DAY]]</f>
        <v>0</v>
      </c>
    </row>
    <row r="136" spans="1:34" x14ac:dyDescent="0.25">
      <c r="A136" s="45" t="s">
        <v>24</v>
      </c>
      <c r="B136" s="45" t="s">
        <v>56</v>
      </c>
      <c r="C136" s="45" t="s">
        <v>102</v>
      </c>
      <c r="D136" s="75" t="s">
        <v>92</v>
      </c>
      <c r="E136" s="75" t="s">
        <v>176</v>
      </c>
      <c r="F136" s="45" t="s">
        <v>175</v>
      </c>
      <c r="G136" s="45" t="s">
        <v>229</v>
      </c>
      <c r="H136" s="96" t="s">
        <v>225</v>
      </c>
      <c r="I136" s="90" t="s">
        <v>177</v>
      </c>
      <c r="J136" s="78">
        <v>43845</v>
      </c>
      <c r="K136" s="78">
        <v>44026</v>
      </c>
      <c r="L136" s="45">
        <v>6</v>
      </c>
      <c r="M136" s="99">
        <f t="shared" ref="M136:M168" si="11">IF(AND(G136="Manager",D136="Spain"),164,IF(AND(G136="Teacher/Trainer/Researcher",D136="Spain"),137,IF(AND(G136="Technical Staff",D136="Spain"),102,IF(AND(G136="Administrative staff",D136="Spain"),78,IF(AND(G136="Manager",D136="Slovenia"),164,IF(AND(G136="Teacher/Trainer/Researcher",D136="Slovenia"),137,IF(AND(G136="Technical Staff",D136="Slovenia"),102,IF(AND(G136="Administrative staff",D136="Slovenia"),78,IF(AND(G136="Manager",D136="Italy"),280,IF(AND(G136="Teacher/Trainer/Researcher",D136="Italy"),214,IF(AND(G136="Technical Staff",D136="Italy"),162,IF(AND(G136="Administrative staff",D136="Italy"),131,IF(AND(G136="Manager",D136="Kazakhstan"),77,IF(AND(G136="Teacher/Trainer/Researcher",D136="Kazakhstan"),57,IF(AND(G136="Technical Staff",D136="Kazakhstan"),40,IF(AND(G136="Administrative staff",D136="Kazakhstan"),32,IF(AND(G136="Manager",D136="Turkmenistan"),47,IF(AND(G136="Teacher/Trainer/Researcher",D136="Turkmenistan"),33,IF(AND(G136="Technical Staff",D136="Turkmenistan"),22,IF(AND(G136="Administrative staff",D136="Turkmenistan"),17,IF(AND(G136="Manager",D136="Tajikistan"),47,IF(AND(G136="Teacher/Trainer/Researcher",D136="Tajikistan"),33,IF(AND(G136="Technical Staff",D136="Tajikistan"),22,IF(AND(G136="Administrative staff",D136="Tajikistan"),17,))))))))))))))))))))))))</f>
        <v>17</v>
      </c>
      <c r="N136" s="99">
        <f>Tabla3[[#This Row],[NUMBER OF DAYS]]*Tabla3[[#This Row],[MAX. UNIT COST PER DAY]]</f>
        <v>102</v>
      </c>
    </row>
    <row r="137" spans="1:34" x14ac:dyDescent="0.25">
      <c r="A137" s="92" t="s">
        <v>73</v>
      </c>
      <c r="B137" s="45" t="s">
        <v>56</v>
      </c>
      <c r="C137" s="45" t="s">
        <v>102</v>
      </c>
      <c r="D137" s="75" t="s">
        <v>92</v>
      </c>
      <c r="E137" s="75" t="s">
        <v>176</v>
      </c>
      <c r="F137" s="45" t="s">
        <v>175</v>
      </c>
      <c r="G137" s="45" t="s">
        <v>229</v>
      </c>
      <c r="H137" s="96" t="s">
        <v>213</v>
      </c>
      <c r="I137" s="90" t="s">
        <v>177</v>
      </c>
      <c r="J137" s="78">
        <v>43845</v>
      </c>
      <c r="K137" s="78">
        <v>44026</v>
      </c>
      <c r="L137" s="64">
        <v>8</v>
      </c>
      <c r="M137" s="99">
        <f t="shared" si="11"/>
        <v>17</v>
      </c>
      <c r="N137" s="100">
        <f>Tabla3[[#This Row],[NUMBER OF DAYS]]*Tabla3[[#This Row],[MAX. UNIT COST PER DAY]]</f>
        <v>136</v>
      </c>
    </row>
    <row r="138" spans="1:34" x14ac:dyDescent="0.25">
      <c r="A138" s="92" t="s">
        <v>74</v>
      </c>
      <c r="B138" s="45" t="s">
        <v>56</v>
      </c>
      <c r="C138" s="45" t="s">
        <v>102</v>
      </c>
      <c r="D138" s="75" t="s">
        <v>92</v>
      </c>
      <c r="E138" s="75" t="s">
        <v>176</v>
      </c>
      <c r="F138" s="45" t="s">
        <v>175</v>
      </c>
      <c r="G138" s="45" t="s">
        <v>229</v>
      </c>
      <c r="H138" s="96" t="s">
        <v>210</v>
      </c>
      <c r="I138" s="90" t="s">
        <v>177</v>
      </c>
      <c r="J138" s="78">
        <v>43845</v>
      </c>
      <c r="K138" s="78">
        <v>44026</v>
      </c>
      <c r="L138" s="64">
        <v>3</v>
      </c>
      <c r="M138" s="99">
        <f t="shared" si="11"/>
        <v>17</v>
      </c>
      <c r="N138" s="100">
        <f>Tabla3[[#This Row],[NUMBER OF DAYS]]*Tabla3[[#This Row],[MAX. UNIT COST PER DAY]]</f>
        <v>51</v>
      </c>
    </row>
    <row r="139" spans="1:34" x14ac:dyDescent="0.25">
      <c r="A139" s="94" t="s">
        <v>23</v>
      </c>
      <c r="B139" s="45" t="s">
        <v>56</v>
      </c>
      <c r="C139" s="45" t="s">
        <v>102</v>
      </c>
      <c r="D139" s="75" t="s">
        <v>92</v>
      </c>
      <c r="E139" s="75" t="s">
        <v>176</v>
      </c>
      <c r="F139" s="45" t="s">
        <v>175</v>
      </c>
      <c r="G139" s="45" t="s">
        <v>229</v>
      </c>
      <c r="H139" s="96" t="s">
        <v>211</v>
      </c>
      <c r="I139" s="90" t="s">
        <v>177</v>
      </c>
      <c r="J139" s="78">
        <v>43845</v>
      </c>
      <c r="K139" s="78">
        <v>44026</v>
      </c>
      <c r="L139" s="45">
        <v>9</v>
      </c>
      <c r="M139" s="99">
        <f t="shared" si="11"/>
        <v>17</v>
      </c>
      <c r="N139" s="99">
        <f>Tabla3[[#This Row],[NUMBER OF DAYS]]*Tabla3[[#This Row],[MAX. UNIT COST PER DAY]]</f>
        <v>153</v>
      </c>
    </row>
    <row r="140" spans="1:34" x14ac:dyDescent="0.25">
      <c r="A140" s="94" t="s">
        <v>72</v>
      </c>
      <c r="B140" s="45" t="s">
        <v>56</v>
      </c>
      <c r="C140" s="45" t="s">
        <v>102</v>
      </c>
      <c r="D140" s="75" t="s">
        <v>92</v>
      </c>
      <c r="E140" s="75" t="s">
        <v>176</v>
      </c>
      <c r="F140" s="45" t="s">
        <v>175</v>
      </c>
      <c r="G140" s="45" t="s">
        <v>229</v>
      </c>
      <c r="H140" s="96" t="s">
        <v>212</v>
      </c>
      <c r="I140" s="90" t="s">
        <v>177</v>
      </c>
      <c r="J140" s="78">
        <v>43845</v>
      </c>
      <c r="K140" s="78">
        <v>44026</v>
      </c>
      <c r="L140" s="45">
        <v>2</v>
      </c>
      <c r="M140" s="99">
        <f t="shared" si="11"/>
        <v>17</v>
      </c>
      <c r="N140" s="99">
        <f>Tabla3[[#This Row],[NUMBER OF DAYS]]*Tabla3[[#This Row],[MAX. UNIT COST PER DAY]]</f>
        <v>34</v>
      </c>
    </row>
    <row r="141" spans="1:34" x14ac:dyDescent="0.25">
      <c r="A141" s="94" t="s">
        <v>24</v>
      </c>
      <c r="B141" s="45" t="s">
        <v>56</v>
      </c>
      <c r="C141" s="45" t="s">
        <v>102</v>
      </c>
      <c r="D141" s="75" t="s">
        <v>92</v>
      </c>
      <c r="E141" s="75" t="s">
        <v>178</v>
      </c>
      <c r="F141" s="45" t="s">
        <v>118</v>
      </c>
      <c r="G141" s="45" t="s">
        <v>47</v>
      </c>
      <c r="H141" s="96" t="s">
        <v>225</v>
      </c>
      <c r="I141" s="90" t="s">
        <v>179</v>
      </c>
      <c r="J141" s="78">
        <v>43845</v>
      </c>
      <c r="K141" s="78">
        <v>44026</v>
      </c>
      <c r="L141" s="45">
        <v>7</v>
      </c>
      <c r="M141" s="99">
        <f t="shared" si="11"/>
        <v>47</v>
      </c>
      <c r="N141" s="99">
        <f>Tabla3[[#This Row],[NUMBER OF DAYS]]*Tabla3[[#This Row],[MAX. UNIT COST PER DAY]]</f>
        <v>329</v>
      </c>
    </row>
    <row r="142" spans="1:34" x14ac:dyDescent="0.25">
      <c r="A142" s="94" t="s">
        <v>73</v>
      </c>
      <c r="B142" s="45" t="s">
        <v>56</v>
      </c>
      <c r="C142" s="45" t="s">
        <v>102</v>
      </c>
      <c r="D142" s="75" t="s">
        <v>92</v>
      </c>
      <c r="E142" s="75" t="s">
        <v>178</v>
      </c>
      <c r="F142" s="45" t="s">
        <v>118</v>
      </c>
      <c r="G142" s="45" t="s">
        <v>47</v>
      </c>
      <c r="H142" s="96" t="s">
        <v>213</v>
      </c>
      <c r="I142" s="90" t="s">
        <v>179</v>
      </c>
      <c r="J142" s="78">
        <v>43845</v>
      </c>
      <c r="K142" s="78">
        <v>44026</v>
      </c>
      <c r="L142" s="45">
        <v>11</v>
      </c>
      <c r="M142" s="99">
        <f t="shared" si="11"/>
        <v>47</v>
      </c>
      <c r="N142" s="99">
        <f>Tabla3[[#This Row],[NUMBER OF DAYS]]*Tabla3[[#This Row],[MAX. UNIT COST PER DAY]]</f>
        <v>517</v>
      </c>
    </row>
    <row r="143" spans="1:34" x14ac:dyDescent="0.25">
      <c r="A143" s="94" t="s">
        <v>74</v>
      </c>
      <c r="B143" s="45" t="s">
        <v>56</v>
      </c>
      <c r="C143" s="45" t="s">
        <v>102</v>
      </c>
      <c r="D143" s="75" t="s">
        <v>92</v>
      </c>
      <c r="E143" s="75" t="s">
        <v>178</v>
      </c>
      <c r="F143" s="45" t="s">
        <v>118</v>
      </c>
      <c r="G143" s="45" t="s">
        <v>47</v>
      </c>
      <c r="H143" s="96" t="s">
        <v>227</v>
      </c>
      <c r="I143" s="90" t="s">
        <v>179</v>
      </c>
      <c r="J143" s="78">
        <v>43845</v>
      </c>
      <c r="K143" s="78">
        <v>44026</v>
      </c>
      <c r="L143" s="45">
        <v>3</v>
      </c>
      <c r="M143" s="99">
        <f t="shared" si="11"/>
        <v>47</v>
      </c>
      <c r="N143" s="99">
        <f>Tabla3[[#This Row],[NUMBER OF DAYS]]*Tabla3[[#This Row],[MAX. UNIT COST PER DAY]]</f>
        <v>141</v>
      </c>
    </row>
    <row r="144" spans="1:34" x14ac:dyDescent="0.25">
      <c r="A144" s="94" t="s">
        <v>23</v>
      </c>
      <c r="B144" s="45" t="s">
        <v>56</v>
      </c>
      <c r="C144" s="45" t="s">
        <v>102</v>
      </c>
      <c r="D144" s="75" t="s">
        <v>92</v>
      </c>
      <c r="E144" s="75" t="s">
        <v>178</v>
      </c>
      <c r="F144" s="45" t="s">
        <v>118</v>
      </c>
      <c r="G144" s="45" t="s">
        <v>47</v>
      </c>
      <c r="H144" s="96" t="s">
        <v>211</v>
      </c>
      <c r="I144" s="90" t="s">
        <v>179</v>
      </c>
      <c r="J144" s="78">
        <v>43845</v>
      </c>
      <c r="K144" s="78">
        <v>44026</v>
      </c>
      <c r="L144" s="45">
        <v>11</v>
      </c>
      <c r="M144" s="99">
        <f t="shared" si="11"/>
        <v>47</v>
      </c>
      <c r="N144" s="99">
        <f>Tabla3[[#This Row],[NUMBER OF DAYS]]*Tabla3[[#This Row],[MAX. UNIT COST PER DAY]]</f>
        <v>517</v>
      </c>
    </row>
    <row r="145" spans="1:34" x14ac:dyDescent="0.25">
      <c r="A145" s="94" t="s">
        <v>72</v>
      </c>
      <c r="B145" s="45" t="s">
        <v>56</v>
      </c>
      <c r="C145" s="45" t="s">
        <v>102</v>
      </c>
      <c r="D145" s="75" t="s">
        <v>92</v>
      </c>
      <c r="E145" s="75" t="s">
        <v>178</v>
      </c>
      <c r="F145" s="45" t="s">
        <v>118</v>
      </c>
      <c r="G145" s="45" t="s">
        <v>47</v>
      </c>
      <c r="H145" s="96" t="s">
        <v>212</v>
      </c>
      <c r="I145" s="90" t="s">
        <v>179</v>
      </c>
      <c r="J145" s="78">
        <v>43845</v>
      </c>
      <c r="K145" s="78">
        <v>44026</v>
      </c>
      <c r="L145" s="45">
        <v>2</v>
      </c>
      <c r="M145" s="99">
        <f t="shared" si="11"/>
        <v>47</v>
      </c>
      <c r="N145" s="99">
        <f>Tabla3[[#This Row],[NUMBER OF DAYS]]*Tabla3[[#This Row],[MAX. UNIT COST PER DAY]]</f>
        <v>94</v>
      </c>
    </row>
    <row r="146" spans="1:34" x14ac:dyDescent="0.25">
      <c r="A146" s="92" t="s">
        <v>24</v>
      </c>
      <c r="B146" s="45" t="s">
        <v>56</v>
      </c>
      <c r="C146" s="45" t="s">
        <v>102</v>
      </c>
      <c r="D146" s="75" t="s">
        <v>92</v>
      </c>
      <c r="E146" s="76" t="s">
        <v>180</v>
      </c>
      <c r="F146" s="64" t="s">
        <v>181</v>
      </c>
      <c r="G146" s="64" t="s">
        <v>48</v>
      </c>
      <c r="H146" s="96" t="s">
        <v>225</v>
      </c>
      <c r="I146" s="64" t="s">
        <v>182</v>
      </c>
      <c r="J146" s="78">
        <v>43845</v>
      </c>
      <c r="K146" s="78">
        <v>44026</v>
      </c>
      <c r="L146" s="64">
        <v>3</v>
      </c>
      <c r="M146" s="99">
        <f t="shared" si="11"/>
        <v>33</v>
      </c>
      <c r="N146" s="100">
        <f>Tabla3[[#This Row],[NUMBER OF DAYS]]*Tabla3[[#This Row],[MAX. UNIT COST PER DAY]]</f>
        <v>99</v>
      </c>
    </row>
    <row r="147" spans="1:34" x14ac:dyDescent="0.25">
      <c r="A147" s="94" t="s">
        <v>73</v>
      </c>
      <c r="B147" s="45" t="s">
        <v>56</v>
      </c>
      <c r="C147" s="45" t="s">
        <v>102</v>
      </c>
      <c r="D147" s="75" t="s">
        <v>92</v>
      </c>
      <c r="E147" s="76" t="s">
        <v>180</v>
      </c>
      <c r="F147" s="64" t="s">
        <v>181</v>
      </c>
      <c r="G147" s="64" t="s">
        <v>48</v>
      </c>
      <c r="H147" s="96" t="s">
        <v>213</v>
      </c>
      <c r="I147" s="64" t="s">
        <v>182</v>
      </c>
      <c r="J147" s="78">
        <v>43845</v>
      </c>
      <c r="K147" s="78">
        <v>44026</v>
      </c>
      <c r="L147" s="45">
        <v>3</v>
      </c>
      <c r="M147" s="99">
        <f t="shared" si="11"/>
        <v>33</v>
      </c>
      <c r="N147" s="99">
        <f>Tabla3[[#This Row],[NUMBER OF DAYS]]*Tabla3[[#This Row],[MAX. UNIT COST PER DAY]]</f>
        <v>99</v>
      </c>
    </row>
    <row r="148" spans="1:34" x14ac:dyDescent="0.25">
      <c r="A148" s="94" t="s">
        <v>23</v>
      </c>
      <c r="B148" s="45" t="s">
        <v>56</v>
      </c>
      <c r="C148" s="45" t="s">
        <v>102</v>
      </c>
      <c r="D148" s="75" t="s">
        <v>92</v>
      </c>
      <c r="E148" s="76" t="s">
        <v>180</v>
      </c>
      <c r="F148" s="64" t="s">
        <v>181</v>
      </c>
      <c r="G148" s="64" t="s">
        <v>48</v>
      </c>
      <c r="H148" s="96" t="s">
        <v>211</v>
      </c>
      <c r="I148" s="64" t="s">
        <v>182</v>
      </c>
      <c r="J148" s="78">
        <v>43845</v>
      </c>
      <c r="K148" s="78">
        <v>44026</v>
      </c>
      <c r="L148" s="45">
        <v>3</v>
      </c>
      <c r="M148" s="99">
        <f t="shared" si="11"/>
        <v>33</v>
      </c>
      <c r="N148" s="99">
        <f>Tabla3[[#This Row],[NUMBER OF DAYS]]*Tabla3[[#This Row],[MAX. UNIT COST PER DAY]]</f>
        <v>99</v>
      </c>
    </row>
    <row r="149" spans="1:34" x14ac:dyDescent="0.25">
      <c r="A149" s="94" t="s">
        <v>24</v>
      </c>
      <c r="B149" s="45" t="s">
        <v>56</v>
      </c>
      <c r="C149" s="45" t="s">
        <v>102</v>
      </c>
      <c r="D149" s="75" t="s">
        <v>92</v>
      </c>
      <c r="E149" s="76" t="s">
        <v>184</v>
      </c>
      <c r="F149" s="45" t="s">
        <v>183</v>
      </c>
      <c r="G149" s="45" t="s">
        <v>226</v>
      </c>
      <c r="H149" s="96" t="s">
        <v>225</v>
      </c>
      <c r="I149" s="95" t="s">
        <v>185</v>
      </c>
      <c r="J149" s="78">
        <v>43845</v>
      </c>
      <c r="K149" s="78">
        <v>44026</v>
      </c>
      <c r="L149" s="45">
        <v>4</v>
      </c>
      <c r="M149" s="99">
        <f t="shared" si="11"/>
        <v>22</v>
      </c>
      <c r="N149" s="99">
        <f>Tabla3[[#This Row],[NUMBER OF DAYS]]*Tabla3[[#This Row],[MAX. UNIT COST PER DAY]]</f>
        <v>88</v>
      </c>
    </row>
    <row r="150" spans="1:34" x14ac:dyDescent="0.25">
      <c r="A150" s="94" t="s">
        <v>73</v>
      </c>
      <c r="B150" s="45" t="s">
        <v>56</v>
      </c>
      <c r="C150" s="45" t="s">
        <v>102</v>
      </c>
      <c r="D150" s="75" t="s">
        <v>92</v>
      </c>
      <c r="E150" s="76" t="s">
        <v>184</v>
      </c>
      <c r="F150" s="45" t="s">
        <v>183</v>
      </c>
      <c r="G150" s="45" t="s">
        <v>226</v>
      </c>
      <c r="H150" s="96" t="s">
        <v>213</v>
      </c>
      <c r="I150" s="95" t="s">
        <v>185</v>
      </c>
      <c r="J150" s="78">
        <v>43845</v>
      </c>
      <c r="K150" s="78">
        <v>44026</v>
      </c>
      <c r="L150" s="45">
        <v>7</v>
      </c>
      <c r="M150" s="99">
        <f t="shared" si="11"/>
        <v>22</v>
      </c>
      <c r="N150" s="99">
        <f>Tabla3[[#This Row],[NUMBER OF DAYS]]*Tabla3[[#This Row],[MAX. UNIT COST PER DAY]]</f>
        <v>154</v>
      </c>
    </row>
    <row r="151" spans="1:34" x14ac:dyDescent="0.25">
      <c r="A151" s="94" t="s">
        <v>74</v>
      </c>
      <c r="B151" s="45" t="s">
        <v>56</v>
      </c>
      <c r="C151" s="45" t="s">
        <v>102</v>
      </c>
      <c r="D151" s="75" t="s">
        <v>92</v>
      </c>
      <c r="E151" s="76" t="s">
        <v>184</v>
      </c>
      <c r="F151" s="45" t="s">
        <v>183</v>
      </c>
      <c r="G151" s="45" t="s">
        <v>226</v>
      </c>
      <c r="H151" s="96" t="s">
        <v>210</v>
      </c>
      <c r="I151" s="95" t="s">
        <v>185</v>
      </c>
      <c r="J151" s="78">
        <v>43845</v>
      </c>
      <c r="K151" s="78">
        <v>44026</v>
      </c>
      <c r="L151" s="45">
        <v>6</v>
      </c>
      <c r="M151" s="99">
        <f t="shared" si="11"/>
        <v>22</v>
      </c>
      <c r="N151" s="99">
        <f>Tabla3[[#This Row],[NUMBER OF DAYS]]*Tabla3[[#This Row],[MAX. UNIT COST PER DAY]]</f>
        <v>132</v>
      </c>
    </row>
    <row r="152" spans="1:34" x14ac:dyDescent="0.25">
      <c r="A152" s="94" t="s">
        <v>23</v>
      </c>
      <c r="B152" s="45" t="s">
        <v>56</v>
      </c>
      <c r="C152" s="45" t="s">
        <v>102</v>
      </c>
      <c r="D152" s="75" t="s">
        <v>92</v>
      </c>
      <c r="E152" s="76" t="s">
        <v>184</v>
      </c>
      <c r="F152" s="45" t="s">
        <v>183</v>
      </c>
      <c r="G152" s="45" t="s">
        <v>226</v>
      </c>
      <c r="H152" s="96" t="s">
        <v>211</v>
      </c>
      <c r="I152" s="95" t="s">
        <v>185</v>
      </c>
      <c r="J152" s="78">
        <v>43845</v>
      </c>
      <c r="K152" s="78">
        <v>44026</v>
      </c>
      <c r="L152" s="45">
        <v>5</v>
      </c>
      <c r="M152" s="99">
        <f t="shared" si="11"/>
        <v>22</v>
      </c>
      <c r="N152" s="99">
        <f>Tabla3[[#This Row],[NUMBER OF DAYS]]*Tabla3[[#This Row],[MAX. UNIT COST PER DAY]]</f>
        <v>110</v>
      </c>
    </row>
    <row r="153" spans="1:34" x14ac:dyDescent="0.25">
      <c r="A153" s="157" t="s">
        <v>23</v>
      </c>
      <c r="B153" s="45" t="s">
        <v>56</v>
      </c>
      <c r="C153" s="45" t="s">
        <v>102</v>
      </c>
      <c r="D153" s="75" t="s">
        <v>92</v>
      </c>
      <c r="E153" s="76" t="s">
        <v>358</v>
      </c>
      <c r="F153" s="158" t="s">
        <v>175</v>
      </c>
      <c r="G153" s="158" t="s">
        <v>229</v>
      </c>
      <c r="H153" s="45" t="s">
        <v>211</v>
      </c>
      <c r="I153" s="163" t="s">
        <v>362</v>
      </c>
      <c r="J153" s="78">
        <v>44027</v>
      </c>
      <c r="K153" s="78">
        <v>44210</v>
      </c>
      <c r="L153" s="158">
        <v>13</v>
      </c>
      <c r="M153" s="99">
        <f t="shared" si="11"/>
        <v>17</v>
      </c>
      <c r="N153" s="160">
        <f>Tabla3[[#This Row],[NUMBER OF DAYS]]*Tabla3[[#This Row],[MAX. UNIT COST PER DAY]]</f>
        <v>221</v>
      </c>
      <c r="O153" s="152"/>
      <c r="P153" s="152"/>
      <c r="Q153" s="152"/>
      <c r="R153" s="152"/>
      <c r="S153" s="152"/>
      <c r="T153" s="152"/>
      <c r="U153" s="152"/>
      <c r="V153" s="152"/>
      <c r="W153" s="152"/>
      <c r="X153" s="152"/>
      <c r="Y153" s="152"/>
      <c r="Z153" s="152"/>
      <c r="AA153" s="152"/>
      <c r="AB153" s="152"/>
      <c r="AC153" s="152"/>
      <c r="AD153" s="152"/>
      <c r="AE153" s="152"/>
      <c r="AF153" s="152"/>
      <c r="AG153" s="152"/>
      <c r="AH153" s="152"/>
    </row>
    <row r="154" spans="1:34" x14ac:dyDescent="0.25">
      <c r="A154" s="157" t="s">
        <v>73</v>
      </c>
      <c r="B154" s="45" t="s">
        <v>56</v>
      </c>
      <c r="C154" s="45" t="s">
        <v>102</v>
      </c>
      <c r="D154" s="75" t="s">
        <v>92</v>
      </c>
      <c r="E154" s="76" t="s">
        <v>358</v>
      </c>
      <c r="F154" s="158" t="s">
        <v>175</v>
      </c>
      <c r="G154" s="158" t="s">
        <v>229</v>
      </c>
      <c r="H154" s="45" t="s">
        <v>213</v>
      </c>
      <c r="I154" s="163" t="s">
        <v>363</v>
      </c>
      <c r="J154" s="78">
        <v>44027</v>
      </c>
      <c r="K154" s="78">
        <v>44210</v>
      </c>
      <c r="L154" s="158">
        <v>10</v>
      </c>
      <c r="M154" s="99">
        <f t="shared" si="11"/>
        <v>17</v>
      </c>
      <c r="N154" s="160">
        <f>Tabla3[[#This Row],[NUMBER OF DAYS]]*Tabla3[[#This Row],[MAX. UNIT COST PER DAY]]</f>
        <v>170</v>
      </c>
      <c r="O154" s="152"/>
      <c r="P154" s="152"/>
      <c r="Q154" s="152"/>
      <c r="R154" s="152"/>
      <c r="S154" s="152"/>
      <c r="T154" s="152"/>
      <c r="U154" s="152"/>
      <c r="V154" s="152"/>
      <c r="W154" s="152"/>
      <c r="X154" s="152"/>
      <c r="Y154" s="152"/>
      <c r="Z154" s="152"/>
      <c r="AA154" s="152"/>
      <c r="AB154" s="152"/>
      <c r="AC154" s="152"/>
      <c r="AD154" s="152"/>
      <c r="AE154" s="152"/>
      <c r="AF154" s="152"/>
      <c r="AG154" s="152"/>
      <c r="AH154" s="152"/>
    </row>
    <row r="155" spans="1:34" x14ac:dyDescent="0.25">
      <c r="A155" s="157" t="s">
        <v>72</v>
      </c>
      <c r="B155" s="45" t="s">
        <v>56</v>
      </c>
      <c r="C155" s="45" t="s">
        <v>102</v>
      </c>
      <c r="D155" s="75" t="s">
        <v>92</v>
      </c>
      <c r="E155" s="76" t="s">
        <v>358</v>
      </c>
      <c r="F155" s="158" t="s">
        <v>175</v>
      </c>
      <c r="G155" s="158" t="s">
        <v>229</v>
      </c>
      <c r="H155" s="45" t="s">
        <v>212</v>
      </c>
      <c r="I155" s="163" t="s">
        <v>364</v>
      </c>
      <c r="J155" s="78">
        <v>44027</v>
      </c>
      <c r="K155" s="78">
        <v>44210</v>
      </c>
      <c r="L155" s="158">
        <v>2</v>
      </c>
      <c r="M155" s="99">
        <f t="shared" si="11"/>
        <v>17</v>
      </c>
      <c r="N155" s="160">
        <f>Tabla3[[#This Row],[NUMBER OF DAYS]]*Tabla3[[#This Row],[MAX. UNIT COST PER DAY]]</f>
        <v>34</v>
      </c>
      <c r="O155" s="152"/>
      <c r="P155" s="152"/>
      <c r="Q155" s="152"/>
      <c r="R155" s="152"/>
      <c r="S155" s="152"/>
      <c r="T155" s="152"/>
      <c r="U155" s="152"/>
      <c r="V155" s="152"/>
      <c r="W155" s="152"/>
      <c r="X155" s="152"/>
      <c r="Y155" s="152"/>
      <c r="Z155" s="152"/>
      <c r="AA155" s="152"/>
      <c r="AB155" s="152"/>
      <c r="AC155" s="152"/>
      <c r="AD155" s="152"/>
      <c r="AE155" s="152"/>
      <c r="AF155" s="152"/>
      <c r="AG155" s="152"/>
      <c r="AH155" s="152"/>
    </row>
    <row r="156" spans="1:34" x14ac:dyDescent="0.25">
      <c r="A156" s="157" t="s">
        <v>24</v>
      </c>
      <c r="B156" s="45" t="s">
        <v>56</v>
      </c>
      <c r="C156" s="45" t="s">
        <v>102</v>
      </c>
      <c r="D156" s="75" t="s">
        <v>92</v>
      </c>
      <c r="E156" s="76" t="s">
        <v>358</v>
      </c>
      <c r="F156" s="158" t="s">
        <v>175</v>
      </c>
      <c r="G156" s="158" t="s">
        <v>229</v>
      </c>
      <c r="H156" s="45" t="s">
        <v>211</v>
      </c>
      <c r="I156" s="163" t="s">
        <v>365</v>
      </c>
      <c r="J156" s="78">
        <v>44027</v>
      </c>
      <c r="K156" s="78">
        <v>44210</v>
      </c>
      <c r="L156" s="158">
        <v>2</v>
      </c>
      <c r="M156" s="99">
        <f t="shared" si="11"/>
        <v>17</v>
      </c>
      <c r="N156" s="160">
        <f>Tabla3[[#This Row],[NUMBER OF DAYS]]*Tabla3[[#This Row],[MAX. UNIT COST PER DAY]]</f>
        <v>34</v>
      </c>
      <c r="O156" s="152"/>
      <c r="P156" s="152"/>
      <c r="Q156" s="152"/>
      <c r="R156" s="152"/>
      <c r="S156" s="152"/>
      <c r="T156" s="152"/>
      <c r="U156" s="152"/>
      <c r="V156" s="152"/>
      <c r="W156" s="152"/>
      <c r="X156" s="152"/>
      <c r="Y156" s="152"/>
      <c r="Z156" s="152"/>
      <c r="AA156" s="152"/>
      <c r="AB156" s="152"/>
      <c r="AC156" s="152"/>
      <c r="AD156" s="152"/>
      <c r="AE156" s="152"/>
      <c r="AF156" s="152"/>
      <c r="AG156" s="152"/>
      <c r="AH156" s="152"/>
    </row>
    <row r="157" spans="1:34" x14ac:dyDescent="0.25">
      <c r="A157" s="157" t="s">
        <v>74</v>
      </c>
      <c r="B157" s="45" t="s">
        <v>56</v>
      </c>
      <c r="C157" s="45" t="s">
        <v>102</v>
      </c>
      <c r="D157" s="75" t="s">
        <v>92</v>
      </c>
      <c r="E157" s="76" t="s">
        <v>358</v>
      </c>
      <c r="F157" s="158" t="s">
        <v>175</v>
      </c>
      <c r="G157" s="158" t="s">
        <v>229</v>
      </c>
      <c r="H157" s="45" t="s">
        <v>210</v>
      </c>
      <c r="I157" s="163" t="s">
        <v>366</v>
      </c>
      <c r="J157" s="78">
        <v>44027</v>
      </c>
      <c r="K157" s="78">
        <v>44210</v>
      </c>
      <c r="L157" s="158">
        <v>2</v>
      </c>
      <c r="M157" s="99">
        <f t="shared" si="11"/>
        <v>17</v>
      </c>
      <c r="N157" s="160">
        <f>Tabla3[[#This Row],[NUMBER OF DAYS]]*Tabla3[[#This Row],[MAX. UNIT COST PER DAY]]</f>
        <v>34</v>
      </c>
      <c r="O157" s="152"/>
      <c r="P157" s="152"/>
      <c r="Q157" s="152"/>
      <c r="R157" s="152"/>
      <c r="S157" s="152"/>
      <c r="T157" s="152"/>
      <c r="U157" s="152"/>
      <c r="V157" s="152"/>
      <c r="W157" s="152"/>
      <c r="X157" s="152"/>
      <c r="Y157" s="152"/>
      <c r="Z157" s="152"/>
      <c r="AA157" s="152"/>
      <c r="AB157" s="152"/>
      <c r="AC157" s="152"/>
      <c r="AD157" s="152"/>
      <c r="AE157" s="152"/>
      <c r="AF157" s="152"/>
      <c r="AG157" s="152"/>
      <c r="AH157" s="152"/>
    </row>
    <row r="158" spans="1:34" x14ac:dyDescent="0.25">
      <c r="A158" s="157" t="s">
        <v>23</v>
      </c>
      <c r="B158" s="45" t="s">
        <v>56</v>
      </c>
      <c r="C158" s="45" t="s">
        <v>102</v>
      </c>
      <c r="D158" s="75" t="s">
        <v>92</v>
      </c>
      <c r="E158" s="76" t="s">
        <v>359</v>
      </c>
      <c r="F158" s="158" t="s">
        <v>118</v>
      </c>
      <c r="G158" s="158" t="s">
        <v>47</v>
      </c>
      <c r="H158" s="45" t="s">
        <v>211</v>
      </c>
      <c r="I158" s="163" t="s">
        <v>367</v>
      </c>
      <c r="J158" s="78">
        <v>44027</v>
      </c>
      <c r="K158" s="78">
        <v>44210</v>
      </c>
      <c r="L158" s="158">
        <v>3</v>
      </c>
      <c r="M158" s="99">
        <f t="shared" si="11"/>
        <v>47</v>
      </c>
      <c r="N158" s="160">
        <f>Tabla3[[#This Row],[NUMBER OF DAYS]]*Tabla3[[#This Row],[MAX. UNIT COST PER DAY]]</f>
        <v>141</v>
      </c>
      <c r="O158" s="152"/>
      <c r="P158" s="152"/>
      <c r="Q158" s="152"/>
      <c r="R158" s="152"/>
      <c r="S158" s="152"/>
      <c r="T158" s="152"/>
      <c r="U158" s="152"/>
      <c r="V158" s="152"/>
      <c r="W158" s="152"/>
      <c r="X158" s="152"/>
      <c r="Y158" s="152"/>
      <c r="Z158" s="152"/>
      <c r="AA158" s="152"/>
      <c r="AB158" s="152"/>
      <c r="AC158" s="152"/>
      <c r="AD158" s="152"/>
      <c r="AE158" s="152"/>
      <c r="AF158" s="152"/>
      <c r="AG158" s="152"/>
      <c r="AH158" s="152"/>
    </row>
    <row r="159" spans="1:34" x14ac:dyDescent="0.25">
      <c r="A159" s="157" t="s">
        <v>73</v>
      </c>
      <c r="B159" s="45" t="s">
        <v>56</v>
      </c>
      <c r="C159" s="45" t="s">
        <v>102</v>
      </c>
      <c r="D159" s="75" t="s">
        <v>92</v>
      </c>
      <c r="E159" s="76" t="s">
        <v>359</v>
      </c>
      <c r="F159" s="158" t="s">
        <v>118</v>
      </c>
      <c r="G159" s="158" t="s">
        <v>47</v>
      </c>
      <c r="H159" s="45" t="s">
        <v>213</v>
      </c>
      <c r="I159" s="163" t="s">
        <v>368</v>
      </c>
      <c r="J159" s="78">
        <v>44027</v>
      </c>
      <c r="K159" s="78">
        <v>44210</v>
      </c>
      <c r="L159" s="158">
        <v>15</v>
      </c>
      <c r="M159" s="99">
        <f t="shared" si="11"/>
        <v>47</v>
      </c>
      <c r="N159" s="160">
        <f>Tabla3[[#This Row],[NUMBER OF DAYS]]*Tabla3[[#This Row],[MAX. UNIT COST PER DAY]]</f>
        <v>705</v>
      </c>
      <c r="O159" s="152"/>
      <c r="P159" s="152"/>
      <c r="Q159" s="152"/>
      <c r="R159" s="152"/>
      <c r="S159" s="152"/>
      <c r="T159" s="152"/>
      <c r="U159" s="152"/>
      <c r="V159" s="152"/>
      <c r="W159" s="152"/>
      <c r="X159" s="152"/>
      <c r="Y159" s="152"/>
      <c r="Z159" s="152"/>
      <c r="AA159" s="152"/>
      <c r="AB159" s="152"/>
      <c r="AC159" s="152"/>
      <c r="AD159" s="152"/>
      <c r="AE159" s="152"/>
      <c r="AF159" s="152"/>
      <c r="AG159" s="152"/>
      <c r="AH159" s="152"/>
    </row>
    <row r="160" spans="1:34" x14ac:dyDescent="0.25">
      <c r="A160" s="157" t="s">
        <v>74</v>
      </c>
      <c r="B160" s="45" t="s">
        <v>56</v>
      </c>
      <c r="C160" s="45" t="s">
        <v>102</v>
      </c>
      <c r="D160" s="75" t="s">
        <v>92</v>
      </c>
      <c r="E160" s="76" t="s">
        <v>359</v>
      </c>
      <c r="F160" s="158" t="s">
        <v>118</v>
      </c>
      <c r="G160" s="158" t="s">
        <v>47</v>
      </c>
      <c r="H160" s="45" t="s">
        <v>210</v>
      </c>
      <c r="I160" s="163" t="s">
        <v>369</v>
      </c>
      <c r="J160" s="78">
        <v>44027</v>
      </c>
      <c r="K160" s="78">
        <v>44210</v>
      </c>
      <c r="L160" s="158">
        <v>7</v>
      </c>
      <c r="M160" s="99">
        <f t="shared" si="11"/>
        <v>47</v>
      </c>
      <c r="N160" s="160">
        <f>Tabla3[[#This Row],[NUMBER OF DAYS]]*Tabla3[[#This Row],[MAX. UNIT COST PER DAY]]</f>
        <v>329</v>
      </c>
      <c r="O160" s="152"/>
      <c r="P160" s="152"/>
      <c r="Q160" s="152"/>
      <c r="R160" s="152"/>
      <c r="S160" s="152"/>
      <c r="T160" s="152"/>
      <c r="U160" s="152"/>
      <c r="V160" s="152"/>
      <c r="W160" s="152"/>
      <c r="X160" s="152"/>
      <c r="Y160" s="152"/>
      <c r="Z160" s="152"/>
      <c r="AA160" s="152"/>
      <c r="AB160" s="152"/>
      <c r="AC160" s="152"/>
      <c r="AD160" s="152"/>
      <c r="AE160" s="152"/>
      <c r="AF160" s="152"/>
      <c r="AG160" s="152"/>
      <c r="AH160" s="152"/>
    </row>
    <row r="161" spans="1:34" x14ac:dyDescent="0.25">
      <c r="A161" s="157" t="s">
        <v>24</v>
      </c>
      <c r="B161" s="45" t="s">
        <v>56</v>
      </c>
      <c r="C161" s="45" t="s">
        <v>102</v>
      </c>
      <c r="D161" s="75" t="s">
        <v>92</v>
      </c>
      <c r="E161" s="76" t="s">
        <v>359</v>
      </c>
      <c r="F161" s="158" t="s">
        <v>118</v>
      </c>
      <c r="G161" s="158" t="s">
        <v>47</v>
      </c>
      <c r="H161" s="45" t="s">
        <v>211</v>
      </c>
      <c r="I161" s="163" t="s">
        <v>370</v>
      </c>
      <c r="J161" s="78">
        <v>44027</v>
      </c>
      <c r="K161" s="78">
        <v>44210</v>
      </c>
      <c r="L161" s="158">
        <v>7</v>
      </c>
      <c r="M161" s="99">
        <f t="shared" si="11"/>
        <v>47</v>
      </c>
      <c r="N161" s="160">
        <f>Tabla3[[#This Row],[NUMBER OF DAYS]]*Tabla3[[#This Row],[MAX. UNIT COST PER DAY]]</f>
        <v>329</v>
      </c>
      <c r="O161" s="152"/>
      <c r="P161" s="152"/>
      <c r="Q161" s="152"/>
      <c r="R161" s="152"/>
      <c r="S161" s="152"/>
      <c r="T161" s="152"/>
      <c r="U161" s="152"/>
      <c r="V161" s="152"/>
      <c r="W161" s="152"/>
      <c r="X161" s="152"/>
      <c r="Y161" s="152"/>
      <c r="Z161" s="152"/>
      <c r="AA161" s="152"/>
      <c r="AB161" s="152"/>
      <c r="AC161" s="152"/>
      <c r="AD161" s="152"/>
      <c r="AE161" s="152"/>
      <c r="AF161" s="152"/>
      <c r="AG161" s="152"/>
      <c r="AH161" s="152"/>
    </row>
    <row r="162" spans="1:34" x14ac:dyDescent="0.25">
      <c r="A162" s="157" t="s">
        <v>23</v>
      </c>
      <c r="B162" s="45" t="s">
        <v>56</v>
      </c>
      <c r="C162" s="45" t="s">
        <v>102</v>
      </c>
      <c r="D162" s="75" t="s">
        <v>92</v>
      </c>
      <c r="E162" s="76" t="s">
        <v>360</v>
      </c>
      <c r="F162" s="64" t="s">
        <v>181</v>
      </c>
      <c r="G162" s="158" t="s">
        <v>48</v>
      </c>
      <c r="H162" s="45" t="s">
        <v>211</v>
      </c>
      <c r="I162" s="163" t="s">
        <v>371</v>
      </c>
      <c r="J162" s="78">
        <v>44027</v>
      </c>
      <c r="K162" s="78">
        <v>44210</v>
      </c>
      <c r="L162" s="158">
        <v>1</v>
      </c>
      <c r="M162" s="99">
        <f t="shared" si="11"/>
        <v>33</v>
      </c>
      <c r="N162" s="160">
        <f>Tabla3[[#This Row],[NUMBER OF DAYS]]*Tabla3[[#This Row],[MAX. UNIT COST PER DAY]]</f>
        <v>33</v>
      </c>
      <c r="O162" s="152"/>
      <c r="P162" s="152"/>
      <c r="Q162" s="152"/>
      <c r="R162" s="152"/>
      <c r="S162" s="152"/>
      <c r="T162" s="152"/>
      <c r="U162" s="152"/>
      <c r="V162" s="152"/>
      <c r="W162" s="152"/>
      <c r="X162" s="152"/>
      <c r="Y162" s="152"/>
      <c r="Z162" s="152"/>
      <c r="AA162" s="152"/>
      <c r="AB162" s="152"/>
      <c r="AC162" s="152"/>
      <c r="AD162" s="152"/>
      <c r="AE162" s="152"/>
      <c r="AF162" s="152"/>
      <c r="AG162" s="152"/>
      <c r="AH162" s="152"/>
    </row>
    <row r="163" spans="1:34" x14ac:dyDescent="0.25">
      <c r="A163" s="157" t="s">
        <v>24</v>
      </c>
      <c r="B163" s="45" t="s">
        <v>56</v>
      </c>
      <c r="C163" s="45" t="s">
        <v>102</v>
      </c>
      <c r="D163" s="75" t="s">
        <v>92</v>
      </c>
      <c r="E163" s="76" t="s">
        <v>360</v>
      </c>
      <c r="F163" s="64" t="s">
        <v>181</v>
      </c>
      <c r="G163" s="158" t="s">
        <v>48</v>
      </c>
      <c r="H163" s="45" t="s">
        <v>225</v>
      </c>
      <c r="I163" s="163" t="s">
        <v>372</v>
      </c>
      <c r="J163" s="78">
        <v>44027</v>
      </c>
      <c r="K163" s="78">
        <v>44210</v>
      </c>
      <c r="L163" s="158">
        <v>3</v>
      </c>
      <c r="M163" s="99">
        <f t="shared" si="11"/>
        <v>33</v>
      </c>
      <c r="N163" s="160">
        <f>Tabla3[[#This Row],[NUMBER OF DAYS]]*Tabla3[[#This Row],[MAX. UNIT COST PER DAY]]</f>
        <v>99</v>
      </c>
      <c r="O163" s="152"/>
      <c r="P163" s="152"/>
      <c r="Q163" s="152"/>
      <c r="R163" s="152"/>
      <c r="S163" s="152"/>
      <c r="T163" s="152"/>
      <c r="U163" s="152"/>
      <c r="V163" s="152"/>
      <c r="W163" s="152"/>
      <c r="X163" s="152"/>
      <c r="Y163" s="152"/>
      <c r="Z163" s="152"/>
      <c r="AA163" s="152"/>
      <c r="AB163" s="152"/>
      <c r="AC163" s="152"/>
      <c r="AD163" s="152"/>
      <c r="AE163" s="152"/>
      <c r="AF163" s="152"/>
      <c r="AG163" s="152"/>
      <c r="AH163" s="152"/>
    </row>
    <row r="164" spans="1:34" x14ac:dyDescent="0.25">
      <c r="A164" s="157" t="s">
        <v>73</v>
      </c>
      <c r="B164" s="45" t="s">
        <v>56</v>
      </c>
      <c r="C164" s="45" t="s">
        <v>102</v>
      </c>
      <c r="D164" s="75" t="s">
        <v>92</v>
      </c>
      <c r="E164" s="76" t="s">
        <v>360</v>
      </c>
      <c r="F164" s="64" t="s">
        <v>181</v>
      </c>
      <c r="G164" s="158" t="s">
        <v>48</v>
      </c>
      <c r="H164" s="45" t="s">
        <v>213</v>
      </c>
      <c r="I164" s="163" t="s">
        <v>373</v>
      </c>
      <c r="J164" s="78">
        <v>44027</v>
      </c>
      <c r="K164" s="78">
        <v>44210</v>
      </c>
      <c r="L164" s="158">
        <v>2</v>
      </c>
      <c r="M164" s="99">
        <f t="shared" si="11"/>
        <v>33</v>
      </c>
      <c r="N164" s="160">
        <f>Tabla3[[#This Row],[NUMBER OF DAYS]]*Tabla3[[#This Row],[MAX. UNIT COST PER DAY]]</f>
        <v>66</v>
      </c>
      <c r="O164" s="152"/>
      <c r="P164" s="152"/>
      <c r="Q164" s="152"/>
      <c r="R164" s="152"/>
      <c r="S164" s="152"/>
      <c r="T164" s="152"/>
      <c r="U164" s="152"/>
      <c r="V164" s="152"/>
      <c r="W164" s="152"/>
      <c r="X164" s="152"/>
      <c r="Y164" s="152"/>
      <c r="Z164" s="152"/>
      <c r="AA164" s="152"/>
      <c r="AB164" s="152"/>
      <c r="AC164" s="152"/>
      <c r="AD164" s="152"/>
      <c r="AE164" s="152"/>
      <c r="AF164" s="152"/>
      <c r="AG164" s="152"/>
      <c r="AH164" s="152"/>
    </row>
    <row r="165" spans="1:34" x14ac:dyDescent="0.25">
      <c r="A165" s="157" t="s">
        <v>23</v>
      </c>
      <c r="B165" s="45" t="s">
        <v>56</v>
      </c>
      <c r="C165" s="45" t="s">
        <v>102</v>
      </c>
      <c r="D165" s="75" t="s">
        <v>92</v>
      </c>
      <c r="E165" s="76" t="s">
        <v>361</v>
      </c>
      <c r="F165" s="45" t="s">
        <v>183</v>
      </c>
      <c r="G165" s="158" t="s">
        <v>226</v>
      </c>
      <c r="H165" s="45" t="s">
        <v>211</v>
      </c>
      <c r="I165" s="164" t="s">
        <v>374</v>
      </c>
      <c r="J165" s="78">
        <v>44027</v>
      </c>
      <c r="K165" s="78">
        <v>44210</v>
      </c>
      <c r="L165" s="158">
        <v>5</v>
      </c>
      <c r="M165" s="99">
        <f t="shared" si="11"/>
        <v>22</v>
      </c>
      <c r="N165" s="160">
        <f>Tabla3[[#This Row],[NUMBER OF DAYS]]*Tabla3[[#This Row],[MAX. UNIT COST PER DAY]]</f>
        <v>110</v>
      </c>
      <c r="O165" s="152"/>
      <c r="P165" s="152"/>
      <c r="Q165" s="152"/>
      <c r="R165" s="152"/>
      <c r="S165" s="152"/>
      <c r="T165" s="152"/>
      <c r="U165" s="152"/>
      <c r="V165" s="152"/>
      <c r="W165" s="152"/>
      <c r="X165" s="152"/>
      <c r="Y165" s="152"/>
      <c r="Z165" s="152"/>
      <c r="AA165" s="152"/>
      <c r="AB165" s="152"/>
      <c r="AC165" s="152"/>
      <c r="AD165" s="152"/>
      <c r="AE165" s="152"/>
      <c r="AF165" s="152"/>
      <c r="AG165" s="152"/>
      <c r="AH165" s="152"/>
    </row>
    <row r="166" spans="1:34" x14ac:dyDescent="0.25">
      <c r="A166" s="157" t="s">
        <v>73</v>
      </c>
      <c r="B166" s="45" t="s">
        <v>56</v>
      </c>
      <c r="C166" s="45" t="s">
        <v>102</v>
      </c>
      <c r="D166" s="75" t="s">
        <v>92</v>
      </c>
      <c r="E166" s="76" t="s">
        <v>361</v>
      </c>
      <c r="F166" s="45" t="s">
        <v>183</v>
      </c>
      <c r="G166" s="158" t="s">
        <v>226</v>
      </c>
      <c r="H166" s="45" t="s">
        <v>213</v>
      </c>
      <c r="I166" s="163" t="s">
        <v>375</v>
      </c>
      <c r="J166" s="78">
        <v>44027</v>
      </c>
      <c r="K166" s="78">
        <v>44210</v>
      </c>
      <c r="L166" s="158">
        <v>7</v>
      </c>
      <c r="M166" s="99">
        <f t="shared" si="11"/>
        <v>22</v>
      </c>
      <c r="N166" s="160">
        <f>Tabla3[[#This Row],[NUMBER OF DAYS]]*Tabla3[[#This Row],[MAX. UNIT COST PER DAY]]</f>
        <v>154</v>
      </c>
      <c r="O166" s="152"/>
      <c r="P166" s="152"/>
      <c r="Q166" s="152"/>
      <c r="R166" s="152"/>
      <c r="S166" s="152"/>
      <c r="T166" s="152"/>
      <c r="U166" s="152"/>
      <c r="V166" s="152"/>
      <c r="W166" s="152"/>
      <c r="X166" s="152"/>
      <c r="Y166" s="152"/>
      <c r="Z166" s="152"/>
      <c r="AA166" s="152"/>
      <c r="AB166" s="152"/>
      <c r="AC166" s="152"/>
      <c r="AD166" s="152"/>
      <c r="AE166" s="152"/>
      <c r="AF166" s="152"/>
      <c r="AG166" s="152"/>
      <c r="AH166" s="152"/>
    </row>
    <row r="167" spans="1:34" x14ac:dyDescent="0.25">
      <c r="A167" s="157" t="s">
        <v>74</v>
      </c>
      <c r="B167" s="45" t="s">
        <v>56</v>
      </c>
      <c r="C167" s="45" t="s">
        <v>102</v>
      </c>
      <c r="D167" s="75" t="s">
        <v>92</v>
      </c>
      <c r="E167" s="76" t="s">
        <v>361</v>
      </c>
      <c r="F167" s="45" t="s">
        <v>183</v>
      </c>
      <c r="G167" s="158" t="s">
        <v>226</v>
      </c>
      <c r="H167" s="45" t="s">
        <v>210</v>
      </c>
      <c r="I167" s="163" t="s">
        <v>376</v>
      </c>
      <c r="J167" s="78">
        <v>44027</v>
      </c>
      <c r="K167" s="78">
        <v>44210</v>
      </c>
      <c r="L167" s="158">
        <v>7</v>
      </c>
      <c r="M167" s="99">
        <f t="shared" si="11"/>
        <v>22</v>
      </c>
      <c r="N167" s="160">
        <f>Tabla3[[#This Row],[NUMBER OF DAYS]]*Tabla3[[#This Row],[MAX. UNIT COST PER DAY]]</f>
        <v>154</v>
      </c>
      <c r="O167" s="152"/>
      <c r="P167" s="152"/>
      <c r="Q167" s="152"/>
      <c r="R167" s="152"/>
      <c r="S167" s="152"/>
      <c r="T167" s="152"/>
      <c r="U167" s="152"/>
      <c r="V167" s="152"/>
      <c r="W167" s="152"/>
      <c r="X167" s="152"/>
      <c r="Y167" s="152"/>
      <c r="Z167" s="152"/>
      <c r="AA167" s="152"/>
      <c r="AB167" s="152"/>
      <c r="AC167" s="152"/>
      <c r="AD167" s="152"/>
      <c r="AE167" s="152"/>
      <c r="AF167" s="152"/>
      <c r="AG167" s="152"/>
      <c r="AH167" s="152"/>
    </row>
    <row r="168" spans="1:34" x14ac:dyDescent="0.25">
      <c r="A168" s="157" t="s">
        <v>24</v>
      </c>
      <c r="B168" s="45" t="s">
        <v>56</v>
      </c>
      <c r="C168" s="45" t="s">
        <v>102</v>
      </c>
      <c r="D168" s="75" t="s">
        <v>92</v>
      </c>
      <c r="E168" s="76" t="s">
        <v>361</v>
      </c>
      <c r="F168" s="45" t="s">
        <v>183</v>
      </c>
      <c r="G168" s="158" t="s">
        <v>226</v>
      </c>
      <c r="H168" s="45" t="s">
        <v>225</v>
      </c>
      <c r="I168" s="163" t="s">
        <v>377</v>
      </c>
      <c r="J168" s="78">
        <v>44027</v>
      </c>
      <c r="K168" s="78">
        <v>44210</v>
      </c>
      <c r="L168" s="158">
        <v>4</v>
      </c>
      <c r="M168" s="99">
        <f t="shared" si="11"/>
        <v>22</v>
      </c>
      <c r="N168" s="160">
        <f>Tabla3[[#This Row],[NUMBER OF DAYS]]*Tabla3[[#This Row],[MAX. UNIT COST PER DAY]]</f>
        <v>88</v>
      </c>
      <c r="O168" s="152"/>
      <c r="P168" s="152"/>
      <c r="Q168" s="152"/>
      <c r="R168" s="152"/>
      <c r="S168" s="152"/>
      <c r="T168" s="152"/>
      <c r="U168" s="152"/>
      <c r="V168" s="152"/>
      <c r="W168" s="152"/>
      <c r="X168" s="152"/>
      <c r="Y168" s="152"/>
      <c r="Z168" s="152"/>
      <c r="AA168" s="152"/>
      <c r="AB168" s="152"/>
      <c r="AC168" s="152"/>
      <c r="AD168" s="152"/>
      <c r="AE168" s="152"/>
      <c r="AF168" s="152"/>
      <c r="AG168" s="152"/>
      <c r="AH168" s="152"/>
    </row>
    <row r="169" spans="1:34" x14ac:dyDescent="0.25">
      <c r="A169" s="94" t="s">
        <v>24</v>
      </c>
      <c r="B169" s="45" t="s">
        <v>56</v>
      </c>
      <c r="C169" s="45" t="s">
        <v>102</v>
      </c>
      <c r="D169" s="75" t="s">
        <v>92</v>
      </c>
      <c r="E169" s="76" t="s">
        <v>527</v>
      </c>
      <c r="F169" s="45" t="s">
        <v>175</v>
      </c>
      <c r="G169" s="45" t="s">
        <v>229</v>
      </c>
      <c r="H169" s="45" t="s">
        <v>225</v>
      </c>
      <c r="I169" s="95" t="s">
        <v>525</v>
      </c>
      <c r="J169" s="196">
        <v>44211</v>
      </c>
      <c r="K169" s="196">
        <v>44391</v>
      </c>
      <c r="L169" s="45">
        <v>4</v>
      </c>
      <c r="M169" s="99">
        <f t="shared" ref="M169:M185" si="12">IF(AND(G169="Manager",D169="Spain"),164,IF(AND(G169="Teacher/Trainer/Researcher",D169="Spain"),137,IF(AND(G169="Technical Staff",D169="Spain"),164,IF(AND(G169="Administrative staff",D169="Spain"),164,IF(AND(G169="Manager",D169="Slovenia"),164,IF(AND(G169="Teacher/Trainer/Researcher",D169="Slovenia"),137,IF(AND(G169="Technical Staff",D169="Slovenia"),102,IF(AND(G169="Administrative staff",D169="Slovenia"),78,IF(AND(G169="Manager",D169="Italy"),280,IF(AND(G169="Teacher/Trainer/Researcher",D169="Italy"),214,IF(AND(G169="Technical Staff",D169="Italy"),162,IF(AND(G169="Administrative staff",D169="Italy"),131,IF(AND(G169="Manager",D169="Kazakstan"),77,IF(AND(G169="Teacher/Trainer/Researcher",D169="Kazakstan"),57,IF(AND(G169="Technical Staff",D169="Kazakstan"),40,IF(AND(G169="Administrative staff",D169="Kazakstan"),32,IF(AND(G169="Manager",D169="Turkmenistan"),47,IF(AND(G169="Teacher/Trainer/Researcher",D169="Turkmenistan"),33,IF(AND(G169="Technical Staff",D169="Turkmenistan"),22,IF(AND(G169="Administrative staff",D169="Turkmenistan"),17,IF(AND(G169="Manager",D169="Tajikistan"),47,IF(AND(G169="Teacher/Trainer/Researcher",D169="Tajikistan"),33,IF(AND(G169="Technical Staff",D169="Tajikistan"),22,IF(AND(G169="Administrative staff",D169="Tajikistan"),17,))))))))))))))))))))))))</f>
        <v>17</v>
      </c>
      <c r="N169" s="99">
        <f>Tabla3[[#This Row],[NUMBER OF DAYS]]*Tabla3[[#This Row],[MAX. UNIT COST PER DAY]]</f>
        <v>68</v>
      </c>
      <c r="O169" s="188"/>
      <c r="P169" s="188"/>
      <c r="Q169" s="188"/>
      <c r="R169" s="188"/>
      <c r="S169" s="188"/>
      <c r="T169" s="188"/>
      <c r="U169" s="188"/>
      <c r="V169" s="188"/>
      <c r="W169" s="188"/>
      <c r="X169" s="188"/>
      <c r="Y169" s="188"/>
      <c r="Z169" s="188"/>
      <c r="AA169" s="188"/>
      <c r="AB169" s="188"/>
      <c r="AC169" s="188"/>
      <c r="AD169" s="188"/>
      <c r="AE169" s="188"/>
      <c r="AF169" s="188"/>
      <c r="AG169" s="188"/>
      <c r="AH169" s="188"/>
    </row>
    <row r="170" spans="1:34" x14ac:dyDescent="0.25">
      <c r="A170" s="94" t="s">
        <v>73</v>
      </c>
      <c r="B170" s="45" t="s">
        <v>56</v>
      </c>
      <c r="C170" s="45" t="s">
        <v>102</v>
      </c>
      <c r="D170" s="75" t="s">
        <v>92</v>
      </c>
      <c r="E170" s="76" t="s">
        <v>527</v>
      </c>
      <c r="F170" s="45" t="s">
        <v>175</v>
      </c>
      <c r="G170" s="45" t="s">
        <v>229</v>
      </c>
      <c r="H170" s="45" t="s">
        <v>213</v>
      </c>
      <c r="I170" s="95" t="s">
        <v>526</v>
      </c>
      <c r="J170" s="196">
        <v>44211</v>
      </c>
      <c r="K170" s="196">
        <v>44391</v>
      </c>
      <c r="L170" s="45">
        <v>10</v>
      </c>
      <c r="M170" s="99">
        <f t="shared" si="12"/>
        <v>17</v>
      </c>
      <c r="N170" s="99">
        <f>Tabla3[[#This Row],[NUMBER OF DAYS]]*Tabla3[[#This Row],[MAX. UNIT COST PER DAY]]</f>
        <v>170</v>
      </c>
      <c r="O170" s="188"/>
      <c r="P170" s="188"/>
      <c r="Q170" s="188"/>
      <c r="R170" s="188"/>
      <c r="S170" s="188"/>
      <c r="T170" s="188"/>
      <c r="U170" s="188"/>
      <c r="V170" s="188"/>
      <c r="W170" s="188"/>
      <c r="X170" s="188"/>
      <c r="Y170" s="188"/>
      <c r="Z170" s="188"/>
      <c r="AA170" s="188"/>
      <c r="AB170" s="188"/>
      <c r="AC170" s="188"/>
      <c r="AD170" s="188"/>
      <c r="AE170" s="188"/>
      <c r="AF170" s="188"/>
      <c r="AG170" s="188"/>
      <c r="AH170" s="188"/>
    </row>
    <row r="171" spans="1:34" x14ac:dyDescent="0.25">
      <c r="A171" s="94" t="s">
        <v>74</v>
      </c>
      <c r="B171" s="45" t="s">
        <v>56</v>
      </c>
      <c r="C171" s="45" t="s">
        <v>102</v>
      </c>
      <c r="D171" s="75" t="s">
        <v>92</v>
      </c>
      <c r="E171" s="76" t="s">
        <v>527</v>
      </c>
      <c r="F171" s="45" t="s">
        <v>175</v>
      </c>
      <c r="G171" s="45" t="s">
        <v>229</v>
      </c>
      <c r="H171" s="45" t="s">
        <v>210</v>
      </c>
      <c r="I171" s="95" t="s">
        <v>528</v>
      </c>
      <c r="J171" s="196">
        <v>44211</v>
      </c>
      <c r="K171" s="196">
        <v>44391</v>
      </c>
      <c r="L171" s="45">
        <v>8</v>
      </c>
      <c r="M171" s="99">
        <f t="shared" si="12"/>
        <v>17</v>
      </c>
      <c r="N171" s="99">
        <f>Tabla3[[#This Row],[NUMBER OF DAYS]]*Tabla3[[#This Row],[MAX. UNIT COST PER DAY]]</f>
        <v>136</v>
      </c>
      <c r="O171" s="188"/>
      <c r="P171" s="188"/>
      <c r="Q171" s="188"/>
      <c r="R171" s="188"/>
      <c r="S171" s="188"/>
      <c r="T171" s="188"/>
      <c r="U171" s="188"/>
      <c r="V171" s="188"/>
      <c r="W171" s="188"/>
      <c r="X171" s="188"/>
      <c r="Y171" s="188"/>
      <c r="Z171" s="188"/>
      <c r="AA171" s="188"/>
      <c r="AB171" s="188"/>
      <c r="AC171" s="188"/>
      <c r="AD171" s="188"/>
      <c r="AE171" s="188"/>
      <c r="AF171" s="188"/>
      <c r="AG171" s="188"/>
      <c r="AH171" s="188"/>
    </row>
    <row r="172" spans="1:34" x14ac:dyDescent="0.25">
      <c r="A172" s="94" t="s">
        <v>23</v>
      </c>
      <c r="B172" s="45" t="s">
        <v>56</v>
      </c>
      <c r="C172" s="45" t="s">
        <v>102</v>
      </c>
      <c r="D172" s="75" t="s">
        <v>92</v>
      </c>
      <c r="E172" s="76" t="s">
        <v>527</v>
      </c>
      <c r="F172" s="45" t="s">
        <v>175</v>
      </c>
      <c r="G172" s="45" t="s">
        <v>229</v>
      </c>
      <c r="H172" s="45" t="s">
        <v>211</v>
      </c>
      <c r="I172" s="95" t="s">
        <v>549</v>
      </c>
      <c r="J172" s="196">
        <v>44211</v>
      </c>
      <c r="K172" s="196">
        <v>44391</v>
      </c>
      <c r="L172" s="45">
        <v>7</v>
      </c>
      <c r="M172" s="99">
        <f t="shared" si="12"/>
        <v>17</v>
      </c>
      <c r="N172" s="99">
        <f>Tabla3[[#This Row],[NUMBER OF DAYS]]*Tabla3[[#This Row],[MAX. UNIT COST PER DAY]]</f>
        <v>119</v>
      </c>
      <c r="O172" s="188"/>
      <c r="P172" s="188"/>
      <c r="Q172" s="188"/>
      <c r="R172" s="188"/>
      <c r="S172" s="188"/>
      <c r="T172" s="188"/>
      <c r="U172" s="188"/>
      <c r="V172" s="188"/>
      <c r="W172" s="188"/>
      <c r="X172" s="188"/>
      <c r="Y172" s="188"/>
      <c r="Z172" s="188"/>
      <c r="AA172" s="188"/>
      <c r="AB172" s="188"/>
      <c r="AC172" s="188"/>
      <c r="AD172" s="188"/>
      <c r="AE172" s="188"/>
      <c r="AF172" s="188"/>
      <c r="AG172" s="188"/>
      <c r="AH172" s="188"/>
    </row>
    <row r="173" spans="1:34" x14ac:dyDescent="0.25">
      <c r="A173" s="94" t="s">
        <v>24</v>
      </c>
      <c r="B173" s="45" t="s">
        <v>56</v>
      </c>
      <c r="C173" s="45" t="s">
        <v>102</v>
      </c>
      <c r="D173" s="75" t="s">
        <v>92</v>
      </c>
      <c r="E173" s="76" t="s">
        <v>529</v>
      </c>
      <c r="F173" s="64" t="s">
        <v>181</v>
      </c>
      <c r="G173" s="45" t="s">
        <v>48</v>
      </c>
      <c r="H173" s="45" t="s">
        <v>225</v>
      </c>
      <c r="I173" s="95" t="s">
        <v>552</v>
      </c>
      <c r="J173" s="196">
        <v>44211</v>
      </c>
      <c r="K173" s="196">
        <v>44391</v>
      </c>
      <c r="L173" s="45">
        <v>3</v>
      </c>
      <c r="M173" s="99">
        <f t="shared" si="12"/>
        <v>33</v>
      </c>
      <c r="N173" s="99">
        <f>Tabla3[[#This Row],[NUMBER OF DAYS]]*Tabla3[[#This Row],[MAX. UNIT COST PER DAY]]</f>
        <v>99</v>
      </c>
      <c r="O173" s="188"/>
      <c r="P173" s="188"/>
      <c r="Q173" s="188"/>
      <c r="R173" s="188"/>
      <c r="S173" s="188"/>
      <c r="T173" s="188"/>
      <c r="U173" s="188"/>
      <c r="V173" s="188"/>
      <c r="W173" s="188"/>
      <c r="X173" s="188"/>
      <c r="Y173" s="188"/>
      <c r="Z173" s="188"/>
      <c r="AA173" s="188"/>
      <c r="AB173" s="188"/>
      <c r="AC173" s="188"/>
      <c r="AD173" s="188"/>
      <c r="AE173" s="188"/>
      <c r="AF173" s="188"/>
      <c r="AG173" s="188"/>
      <c r="AH173" s="188"/>
    </row>
    <row r="174" spans="1:34" x14ac:dyDescent="0.25">
      <c r="A174" s="94" t="s">
        <v>73</v>
      </c>
      <c r="B174" s="45" t="s">
        <v>56</v>
      </c>
      <c r="C174" s="45" t="s">
        <v>102</v>
      </c>
      <c r="D174" s="75" t="s">
        <v>92</v>
      </c>
      <c r="E174" s="76" t="s">
        <v>529</v>
      </c>
      <c r="F174" s="64" t="s">
        <v>181</v>
      </c>
      <c r="G174" s="45" t="s">
        <v>48</v>
      </c>
      <c r="H174" s="45" t="s">
        <v>213</v>
      </c>
      <c r="I174" s="95" t="s">
        <v>530</v>
      </c>
      <c r="J174" s="196">
        <v>44211</v>
      </c>
      <c r="K174" s="196">
        <v>44391</v>
      </c>
      <c r="L174" s="45">
        <v>3</v>
      </c>
      <c r="M174" s="99">
        <f t="shared" si="12"/>
        <v>33</v>
      </c>
      <c r="N174" s="99">
        <f>Tabla3[[#This Row],[NUMBER OF DAYS]]*Tabla3[[#This Row],[MAX. UNIT COST PER DAY]]</f>
        <v>99</v>
      </c>
      <c r="O174" s="188"/>
      <c r="P174" s="188"/>
      <c r="Q174" s="188"/>
      <c r="R174" s="188"/>
      <c r="S174" s="188"/>
      <c r="T174" s="188"/>
      <c r="U174" s="188"/>
      <c r="V174" s="188"/>
      <c r="W174" s="188"/>
      <c r="X174" s="188"/>
      <c r="Y174" s="188"/>
      <c r="Z174" s="188"/>
      <c r="AA174" s="188"/>
      <c r="AB174" s="188"/>
      <c r="AC174" s="188"/>
      <c r="AD174" s="188"/>
      <c r="AE174" s="188"/>
      <c r="AF174" s="188"/>
      <c r="AG174" s="188"/>
      <c r="AH174" s="188"/>
    </row>
    <row r="175" spans="1:34" x14ac:dyDescent="0.25">
      <c r="A175" s="94" t="s">
        <v>23</v>
      </c>
      <c r="B175" s="45" t="s">
        <v>56</v>
      </c>
      <c r="C175" s="45" t="s">
        <v>102</v>
      </c>
      <c r="D175" s="75" t="s">
        <v>92</v>
      </c>
      <c r="E175" s="76" t="s">
        <v>529</v>
      </c>
      <c r="F175" s="64" t="s">
        <v>181</v>
      </c>
      <c r="G175" s="45" t="s">
        <v>48</v>
      </c>
      <c r="H175" s="45" t="s">
        <v>211</v>
      </c>
      <c r="I175" s="95" t="s">
        <v>550</v>
      </c>
      <c r="J175" s="196">
        <v>44211</v>
      </c>
      <c r="K175" s="196">
        <v>44391</v>
      </c>
      <c r="L175" s="45">
        <v>1</v>
      </c>
      <c r="M175" s="99">
        <f t="shared" si="12"/>
        <v>33</v>
      </c>
      <c r="N175" s="99">
        <f>Tabla3[[#This Row],[NUMBER OF DAYS]]*Tabla3[[#This Row],[MAX. UNIT COST PER DAY]]</f>
        <v>33</v>
      </c>
      <c r="O175" s="188"/>
      <c r="P175" s="188"/>
      <c r="Q175" s="188"/>
      <c r="R175" s="188"/>
      <c r="S175" s="188"/>
      <c r="T175" s="188"/>
      <c r="U175" s="188"/>
      <c r="V175" s="188"/>
      <c r="W175" s="188"/>
      <c r="X175" s="188"/>
      <c r="Y175" s="188"/>
      <c r="Z175" s="188"/>
      <c r="AA175" s="188"/>
      <c r="AB175" s="188"/>
      <c r="AC175" s="188"/>
      <c r="AD175" s="188"/>
      <c r="AE175" s="188"/>
      <c r="AF175" s="188"/>
      <c r="AG175" s="188"/>
      <c r="AH175" s="188"/>
    </row>
    <row r="176" spans="1:34" x14ac:dyDescent="0.25">
      <c r="A176" s="194" t="s">
        <v>74</v>
      </c>
      <c r="B176" s="45" t="s">
        <v>56</v>
      </c>
      <c r="C176" s="45" t="s">
        <v>102</v>
      </c>
      <c r="D176" s="75" t="s">
        <v>92</v>
      </c>
      <c r="E176" s="76" t="s">
        <v>529</v>
      </c>
      <c r="F176" s="64" t="s">
        <v>181</v>
      </c>
      <c r="G176" s="45" t="s">
        <v>48</v>
      </c>
      <c r="H176" s="45" t="s">
        <v>210</v>
      </c>
      <c r="I176" s="199" t="s">
        <v>551</v>
      </c>
      <c r="J176" s="196">
        <v>44211</v>
      </c>
      <c r="K176" s="196">
        <v>44391</v>
      </c>
      <c r="L176" s="192">
        <v>1</v>
      </c>
      <c r="M176" s="198">
        <f t="shared" si="12"/>
        <v>33</v>
      </c>
      <c r="N176" s="198">
        <f>Tabla3[[#This Row],[NUMBER OF DAYS]]*Tabla3[[#This Row],[MAX. UNIT COST PER DAY]]</f>
        <v>33</v>
      </c>
      <c r="O176" s="188"/>
      <c r="P176" s="188"/>
      <c r="Q176" s="188"/>
      <c r="R176" s="188"/>
      <c r="S176" s="188"/>
      <c r="T176" s="188"/>
      <c r="U176" s="188"/>
      <c r="V176" s="188"/>
      <c r="W176" s="188"/>
      <c r="X176" s="188"/>
      <c r="Y176" s="188"/>
      <c r="Z176" s="188"/>
      <c r="AA176" s="188"/>
      <c r="AB176" s="188"/>
      <c r="AC176" s="188"/>
      <c r="AD176" s="188"/>
      <c r="AE176" s="188"/>
      <c r="AF176" s="188"/>
      <c r="AG176" s="188"/>
      <c r="AH176" s="188"/>
    </row>
    <row r="177" spans="1:34" x14ac:dyDescent="0.25">
      <c r="A177" s="94" t="s">
        <v>24</v>
      </c>
      <c r="B177" s="45" t="s">
        <v>56</v>
      </c>
      <c r="C177" s="45" t="s">
        <v>102</v>
      </c>
      <c r="D177" s="75" t="s">
        <v>92</v>
      </c>
      <c r="E177" s="76" t="s">
        <v>531</v>
      </c>
      <c r="F177" s="158" t="s">
        <v>118</v>
      </c>
      <c r="G177" s="45" t="s">
        <v>47</v>
      </c>
      <c r="H177" s="45" t="s">
        <v>225</v>
      </c>
      <c r="I177" s="45" t="s">
        <v>532</v>
      </c>
      <c r="J177" s="196">
        <v>44211</v>
      </c>
      <c r="K177" s="196">
        <v>44391</v>
      </c>
      <c r="L177" s="45">
        <v>4</v>
      </c>
      <c r="M177" s="99">
        <f t="shared" si="12"/>
        <v>47</v>
      </c>
      <c r="N177" s="99">
        <f>Tabla3[[#This Row],[NUMBER OF DAYS]]*Tabla3[[#This Row],[MAX. UNIT COST PER DAY]]</f>
        <v>188</v>
      </c>
      <c r="O177" s="188"/>
      <c r="P177" s="188"/>
      <c r="Q177" s="188"/>
      <c r="R177" s="188"/>
      <c r="S177" s="188"/>
      <c r="T177" s="188"/>
      <c r="U177" s="188"/>
      <c r="V177" s="188"/>
      <c r="W177" s="188"/>
      <c r="X177" s="188"/>
      <c r="Y177" s="188"/>
      <c r="Z177" s="188"/>
      <c r="AA177" s="188"/>
      <c r="AB177" s="188"/>
      <c r="AC177" s="188"/>
      <c r="AD177" s="188"/>
      <c r="AE177" s="188"/>
      <c r="AF177" s="188"/>
      <c r="AG177" s="188"/>
      <c r="AH177" s="188"/>
    </row>
    <row r="178" spans="1:34" x14ac:dyDescent="0.25">
      <c r="A178" s="94" t="s">
        <v>73</v>
      </c>
      <c r="B178" s="45" t="s">
        <v>56</v>
      </c>
      <c r="C178" s="45" t="s">
        <v>102</v>
      </c>
      <c r="D178" s="75" t="s">
        <v>92</v>
      </c>
      <c r="E178" s="76" t="s">
        <v>531</v>
      </c>
      <c r="F178" s="158" t="s">
        <v>118</v>
      </c>
      <c r="G178" s="45" t="s">
        <v>47</v>
      </c>
      <c r="H178" s="45" t="s">
        <v>213</v>
      </c>
      <c r="I178" s="95" t="s">
        <v>533</v>
      </c>
      <c r="J178" s="196">
        <v>44211</v>
      </c>
      <c r="K178" s="196">
        <v>44391</v>
      </c>
      <c r="L178" s="45">
        <v>11</v>
      </c>
      <c r="M178" s="99">
        <f t="shared" si="12"/>
        <v>47</v>
      </c>
      <c r="N178" s="99">
        <f>Tabla3[[#This Row],[NUMBER OF DAYS]]*Tabla3[[#This Row],[MAX. UNIT COST PER DAY]]</f>
        <v>517</v>
      </c>
      <c r="O178" s="188"/>
      <c r="P178" s="188"/>
      <c r="Q178" s="188"/>
      <c r="R178" s="188"/>
      <c r="S178" s="188"/>
      <c r="T178" s="188"/>
      <c r="U178" s="188"/>
      <c r="V178" s="188"/>
      <c r="W178" s="188"/>
      <c r="X178" s="188"/>
      <c r="Y178" s="188"/>
      <c r="Z178" s="188"/>
      <c r="AA178" s="188"/>
      <c r="AB178" s="188"/>
      <c r="AC178" s="188"/>
      <c r="AD178" s="188"/>
      <c r="AE178" s="188"/>
      <c r="AF178" s="188"/>
      <c r="AG178" s="188"/>
      <c r="AH178" s="188"/>
    </row>
    <row r="179" spans="1:34" x14ac:dyDescent="0.25">
      <c r="A179" s="94" t="s">
        <v>74</v>
      </c>
      <c r="B179" s="45" t="s">
        <v>56</v>
      </c>
      <c r="C179" s="45" t="s">
        <v>102</v>
      </c>
      <c r="D179" s="75" t="s">
        <v>92</v>
      </c>
      <c r="E179" s="76" t="s">
        <v>531</v>
      </c>
      <c r="F179" s="158" t="s">
        <v>118</v>
      </c>
      <c r="G179" s="45" t="s">
        <v>47</v>
      </c>
      <c r="H179" s="45" t="s">
        <v>210</v>
      </c>
      <c r="I179" s="95" t="s">
        <v>534</v>
      </c>
      <c r="J179" s="196">
        <v>44211</v>
      </c>
      <c r="K179" s="196">
        <v>44391</v>
      </c>
      <c r="L179" s="45">
        <v>6</v>
      </c>
      <c r="M179" s="99">
        <f t="shared" si="12"/>
        <v>47</v>
      </c>
      <c r="N179" s="99">
        <f>Tabla3[[#This Row],[NUMBER OF DAYS]]*Tabla3[[#This Row],[MAX. UNIT COST PER DAY]]</f>
        <v>282</v>
      </c>
      <c r="O179" s="188"/>
      <c r="P179" s="188"/>
      <c r="Q179" s="188"/>
      <c r="R179" s="188"/>
      <c r="S179" s="188"/>
      <c r="T179" s="188"/>
      <c r="U179" s="188"/>
      <c r="V179" s="188"/>
      <c r="W179" s="188"/>
      <c r="X179" s="188"/>
      <c r="Y179" s="188"/>
      <c r="Z179" s="188"/>
      <c r="AA179" s="188"/>
      <c r="AB179" s="188"/>
      <c r="AC179" s="188"/>
      <c r="AD179" s="188"/>
      <c r="AE179" s="188"/>
      <c r="AF179" s="188"/>
      <c r="AG179" s="188"/>
      <c r="AH179" s="188"/>
    </row>
    <row r="180" spans="1:34" x14ac:dyDescent="0.25">
      <c r="A180" s="94" t="s">
        <v>23</v>
      </c>
      <c r="B180" s="45" t="s">
        <v>56</v>
      </c>
      <c r="C180" s="45" t="s">
        <v>102</v>
      </c>
      <c r="D180" s="75" t="s">
        <v>92</v>
      </c>
      <c r="E180" s="76" t="s">
        <v>531</v>
      </c>
      <c r="F180" s="158" t="s">
        <v>118</v>
      </c>
      <c r="G180" s="45" t="s">
        <v>47</v>
      </c>
      <c r="H180" s="45" t="s">
        <v>211</v>
      </c>
      <c r="I180" s="95" t="s">
        <v>535</v>
      </c>
      <c r="J180" s="196">
        <v>44211</v>
      </c>
      <c r="K180" s="196">
        <v>44391</v>
      </c>
      <c r="L180" s="45">
        <v>8</v>
      </c>
      <c r="M180" s="99">
        <f t="shared" si="12"/>
        <v>47</v>
      </c>
      <c r="N180" s="99">
        <f>Tabla3[[#This Row],[NUMBER OF DAYS]]*Tabla3[[#This Row],[MAX. UNIT COST PER DAY]]</f>
        <v>376</v>
      </c>
      <c r="O180" s="188"/>
      <c r="P180" s="188"/>
      <c r="Q180" s="188"/>
      <c r="R180" s="188"/>
      <c r="S180" s="188"/>
      <c r="T180" s="188"/>
      <c r="U180" s="188"/>
      <c r="V180" s="188"/>
      <c r="W180" s="188"/>
      <c r="X180" s="188"/>
      <c r="Y180" s="188"/>
      <c r="Z180" s="188"/>
      <c r="AA180" s="188"/>
      <c r="AB180" s="188"/>
      <c r="AC180" s="188"/>
      <c r="AD180" s="188"/>
      <c r="AE180" s="188"/>
      <c r="AF180" s="188"/>
      <c r="AG180" s="188"/>
      <c r="AH180" s="188"/>
    </row>
    <row r="181" spans="1:34" x14ac:dyDescent="0.25">
      <c r="A181" s="94" t="s">
        <v>72</v>
      </c>
      <c r="B181" s="45" t="s">
        <v>56</v>
      </c>
      <c r="C181" s="45" t="s">
        <v>102</v>
      </c>
      <c r="D181" s="75" t="s">
        <v>92</v>
      </c>
      <c r="E181" s="76" t="s">
        <v>531</v>
      </c>
      <c r="F181" s="158" t="s">
        <v>118</v>
      </c>
      <c r="G181" s="45" t="s">
        <v>47</v>
      </c>
      <c r="H181" s="45" t="s">
        <v>212</v>
      </c>
      <c r="I181" s="95" t="s">
        <v>536</v>
      </c>
      <c r="J181" s="196">
        <v>44211</v>
      </c>
      <c r="K181" s="196">
        <v>44391</v>
      </c>
      <c r="L181" s="45">
        <v>3</v>
      </c>
      <c r="M181" s="99">
        <f t="shared" si="12"/>
        <v>47</v>
      </c>
      <c r="N181" s="99">
        <f>Tabla3[[#This Row],[NUMBER OF DAYS]]*Tabla3[[#This Row],[MAX. UNIT COST PER DAY]]</f>
        <v>141</v>
      </c>
      <c r="O181" s="188"/>
      <c r="P181" s="188"/>
      <c r="Q181" s="188"/>
      <c r="R181" s="188"/>
      <c r="S181" s="188"/>
      <c r="T181" s="188"/>
      <c r="U181" s="188"/>
      <c r="V181" s="188"/>
      <c r="W181" s="188"/>
      <c r="X181" s="188"/>
      <c r="Y181" s="188"/>
      <c r="Z181" s="188"/>
      <c r="AA181" s="188"/>
      <c r="AB181" s="188"/>
      <c r="AC181" s="188"/>
      <c r="AD181" s="188"/>
      <c r="AE181" s="188"/>
      <c r="AF181" s="188"/>
      <c r="AG181" s="188"/>
      <c r="AH181" s="188"/>
    </row>
    <row r="182" spans="1:34" x14ac:dyDescent="0.25">
      <c r="A182" s="94" t="s">
        <v>24</v>
      </c>
      <c r="B182" s="45" t="s">
        <v>56</v>
      </c>
      <c r="C182" s="45" t="s">
        <v>102</v>
      </c>
      <c r="D182" s="75" t="s">
        <v>92</v>
      </c>
      <c r="E182" s="76" t="s">
        <v>539</v>
      </c>
      <c r="F182" s="45" t="s">
        <v>183</v>
      </c>
      <c r="G182" s="45" t="s">
        <v>226</v>
      </c>
      <c r="H182" s="45" t="s">
        <v>213</v>
      </c>
      <c r="I182" s="95" t="s">
        <v>554</v>
      </c>
      <c r="J182" s="196">
        <v>44211</v>
      </c>
      <c r="K182" s="196">
        <v>44391</v>
      </c>
      <c r="L182" s="45">
        <v>4</v>
      </c>
      <c r="M182" s="99">
        <f t="shared" si="12"/>
        <v>22</v>
      </c>
      <c r="N182" s="99">
        <f>Tabla3[[#This Row],[NUMBER OF DAYS]]*Tabla3[[#This Row],[MAX. UNIT COST PER DAY]]</f>
        <v>88</v>
      </c>
      <c r="O182" s="188"/>
      <c r="P182" s="188"/>
      <c r="Q182" s="188"/>
      <c r="R182" s="188"/>
      <c r="S182" s="188"/>
      <c r="T182" s="188"/>
      <c r="U182" s="188"/>
      <c r="V182" s="188"/>
      <c r="W182" s="188"/>
      <c r="X182" s="188"/>
      <c r="Y182" s="188"/>
      <c r="Z182" s="188"/>
      <c r="AA182" s="188"/>
      <c r="AB182" s="188"/>
      <c r="AC182" s="188"/>
      <c r="AD182" s="188"/>
      <c r="AE182" s="188"/>
      <c r="AF182" s="188"/>
      <c r="AG182" s="188"/>
      <c r="AH182" s="188"/>
    </row>
    <row r="183" spans="1:34" x14ac:dyDescent="0.25">
      <c r="A183" s="94" t="s">
        <v>73</v>
      </c>
      <c r="B183" s="45" t="s">
        <v>56</v>
      </c>
      <c r="C183" s="45" t="s">
        <v>102</v>
      </c>
      <c r="D183" s="75" t="s">
        <v>92</v>
      </c>
      <c r="E183" s="76" t="s">
        <v>539</v>
      </c>
      <c r="F183" s="45" t="s">
        <v>183</v>
      </c>
      <c r="G183" s="45" t="s">
        <v>226</v>
      </c>
      <c r="H183" s="45" t="s">
        <v>213</v>
      </c>
      <c r="I183" s="95" t="s">
        <v>537</v>
      </c>
      <c r="J183" s="196">
        <v>44211</v>
      </c>
      <c r="K183" s="196">
        <v>44391</v>
      </c>
      <c r="L183" s="45">
        <v>9</v>
      </c>
      <c r="M183" s="99">
        <f t="shared" si="12"/>
        <v>22</v>
      </c>
      <c r="N183" s="99">
        <f>Tabla3[[#This Row],[NUMBER OF DAYS]]*Tabla3[[#This Row],[MAX. UNIT COST PER DAY]]</f>
        <v>198</v>
      </c>
      <c r="O183" s="188"/>
      <c r="P183" s="188"/>
      <c r="Q183" s="188"/>
      <c r="R183" s="188"/>
      <c r="S183" s="188"/>
      <c r="T183" s="188"/>
      <c r="U183" s="188"/>
      <c r="V183" s="188"/>
      <c r="W183" s="188"/>
      <c r="X183" s="188"/>
      <c r="Y183" s="188"/>
      <c r="Z183" s="188"/>
      <c r="AA183" s="188"/>
      <c r="AB183" s="188"/>
      <c r="AC183" s="188"/>
      <c r="AD183" s="188"/>
      <c r="AE183" s="188"/>
      <c r="AF183" s="188"/>
      <c r="AG183" s="188"/>
      <c r="AH183" s="188"/>
    </row>
    <row r="184" spans="1:34" x14ac:dyDescent="0.25">
      <c r="A184" s="94" t="s">
        <v>74</v>
      </c>
      <c r="B184" s="45" t="s">
        <v>56</v>
      </c>
      <c r="C184" s="45" t="s">
        <v>102</v>
      </c>
      <c r="D184" s="75" t="s">
        <v>92</v>
      </c>
      <c r="E184" s="76" t="s">
        <v>539</v>
      </c>
      <c r="F184" s="45" t="s">
        <v>183</v>
      </c>
      <c r="G184" s="45" t="s">
        <v>226</v>
      </c>
      <c r="H184" s="45" t="s">
        <v>210</v>
      </c>
      <c r="I184" s="95" t="s">
        <v>538</v>
      </c>
      <c r="J184" s="196">
        <v>44211</v>
      </c>
      <c r="K184" s="196">
        <v>44391</v>
      </c>
      <c r="L184" s="45">
        <v>6</v>
      </c>
      <c r="M184" s="99">
        <f t="shared" si="12"/>
        <v>22</v>
      </c>
      <c r="N184" s="99">
        <f>Tabla3[[#This Row],[NUMBER OF DAYS]]*Tabla3[[#This Row],[MAX. UNIT COST PER DAY]]</f>
        <v>132</v>
      </c>
      <c r="O184" s="188"/>
      <c r="P184" s="188"/>
      <c r="Q184" s="188"/>
      <c r="R184" s="188"/>
      <c r="S184" s="188"/>
      <c r="T184" s="188"/>
      <c r="U184" s="188"/>
      <c r="V184" s="188"/>
      <c r="W184" s="188"/>
      <c r="X184" s="188"/>
      <c r="Y184" s="188"/>
      <c r="Z184" s="188"/>
      <c r="AA184" s="188"/>
      <c r="AB184" s="188"/>
      <c r="AC184" s="188"/>
      <c r="AD184" s="188"/>
      <c r="AE184" s="188"/>
      <c r="AF184" s="188"/>
      <c r="AG184" s="188"/>
      <c r="AH184" s="188"/>
    </row>
    <row r="185" spans="1:34" x14ac:dyDescent="0.25">
      <c r="A185" s="94" t="s">
        <v>23</v>
      </c>
      <c r="B185" s="45" t="s">
        <v>56</v>
      </c>
      <c r="C185" s="45" t="s">
        <v>102</v>
      </c>
      <c r="D185" s="75" t="s">
        <v>92</v>
      </c>
      <c r="E185" s="76" t="s">
        <v>539</v>
      </c>
      <c r="F185" s="45" t="s">
        <v>183</v>
      </c>
      <c r="G185" s="45" t="s">
        <v>226</v>
      </c>
      <c r="H185" s="45" t="s">
        <v>211</v>
      </c>
      <c r="I185" s="95" t="s">
        <v>553</v>
      </c>
      <c r="J185" s="196">
        <v>44211</v>
      </c>
      <c r="K185" s="196">
        <v>44391</v>
      </c>
      <c r="L185" s="45">
        <v>3</v>
      </c>
      <c r="M185" s="99">
        <f t="shared" si="12"/>
        <v>22</v>
      </c>
      <c r="N185" s="99">
        <f>Tabla3[[#This Row],[NUMBER OF DAYS]]*Tabla3[[#This Row],[MAX. UNIT COST PER DAY]]</f>
        <v>66</v>
      </c>
      <c r="O185" s="188"/>
      <c r="P185" s="188"/>
      <c r="Q185" s="188"/>
      <c r="R185" s="188"/>
      <c r="S185" s="188"/>
      <c r="T185" s="188"/>
      <c r="U185" s="188"/>
      <c r="V185" s="188"/>
      <c r="W185" s="188"/>
      <c r="X185" s="188"/>
      <c r="Y185" s="188"/>
      <c r="Z185" s="188"/>
      <c r="AA185" s="188"/>
      <c r="AB185" s="188"/>
      <c r="AC185" s="188"/>
      <c r="AD185" s="188"/>
      <c r="AE185" s="188"/>
      <c r="AF185" s="188"/>
      <c r="AG185" s="188"/>
      <c r="AH185" s="188"/>
    </row>
    <row r="186" spans="1:34" x14ac:dyDescent="0.25">
      <c r="A186" s="94" t="s">
        <v>24</v>
      </c>
      <c r="B186" s="45" t="s">
        <v>56</v>
      </c>
      <c r="C186" s="45" t="s">
        <v>102</v>
      </c>
      <c r="D186" s="75" t="s">
        <v>92</v>
      </c>
      <c r="E186" s="76" t="s">
        <v>636</v>
      </c>
      <c r="F186" s="45" t="s">
        <v>175</v>
      </c>
      <c r="G186" s="45" t="s">
        <v>229</v>
      </c>
      <c r="H186" s="45" t="s">
        <v>225</v>
      </c>
      <c r="I186" s="96" t="s">
        <v>633</v>
      </c>
      <c r="J186" s="218">
        <v>44392</v>
      </c>
      <c r="K186" s="218">
        <v>44561</v>
      </c>
      <c r="L186" s="45">
        <v>6</v>
      </c>
      <c r="M186" s="99">
        <f t="shared" ref="M186" si="13">IF(AND(G186="Manager",D186="Spain"),164,IF(AND(G186="Teacher/Trainer/Researcher",D186="Spain"),137,IF(AND(G186="Technical Staff",D186="Spain"),164,IF(AND(G186="Administrative staff",D186="Spain"),164,IF(AND(G186="Manager",D186="Slovenia"),164,IF(AND(G186="Teacher/Trainer/Researcher",D186="Slovenia"),137,IF(AND(G186="Technical Staff",D186="Slovenia"),102,IF(AND(G186="Administrative staff",D186="Slovenia"),78,IF(AND(G186="Manager",D186="Italy"),280,IF(AND(G186="Teacher/Trainer/Researcher",D186="Italy"),214,IF(AND(G186="Technical Staff",D186="Italy"),162,IF(AND(G186="Administrative staff",D186="Italy"),131,IF(AND(G186="Manager",D186="Kazakstan"),77,IF(AND(G186="Teacher/Trainer/Researcher",D186="Kazakstan"),57,IF(AND(G186="Technical Staff",D186="Kazakstan"),40,IF(AND(G186="Administrative staff",D186="Kazakstan"),32,IF(AND(G186="Manager",D186="Turkmenistan"),47,IF(AND(G186="Teacher/Trainer/Researcher",D186="Turkmenistan"),33,IF(AND(G186="Technical Staff",D186="Turkmenistan"),22,IF(AND(G186="Administrative staff",D186="Turkmenistan"),17,IF(AND(G186="Manager",D186="Tajikistan"),47,IF(AND(G186="Teacher/Trainer/Researcher",D186="Tajikistan"),33,IF(AND(G186="Technical Staff",D186="Tajikistan"),22,IF(AND(G186="Administrative staff",D186="Tajikistan"),17,))))))))))))))))))))))))</f>
        <v>17</v>
      </c>
      <c r="N186" s="99">
        <f>Tabla3[[#This Row],[NUMBER OF DAYS]]*Tabla3[[#This Row],[MAX. UNIT COST PER DAY]]</f>
        <v>102</v>
      </c>
      <c r="O186" s="188"/>
      <c r="P186" s="188"/>
      <c r="Q186" s="188"/>
      <c r="R186" s="188"/>
      <c r="S186" s="188"/>
      <c r="T186" s="188"/>
      <c r="U186" s="188"/>
      <c r="V186" s="188"/>
      <c r="W186" s="188"/>
      <c r="X186" s="188"/>
      <c r="Y186" s="188"/>
      <c r="Z186" s="188"/>
      <c r="AA186" s="188"/>
      <c r="AB186" s="188"/>
      <c r="AC186" s="188"/>
      <c r="AD186" s="188"/>
      <c r="AE186" s="188"/>
      <c r="AF186" s="188"/>
      <c r="AG186" s="188"/>
      <c r="AH186" s="188"/>
    </row>
    <row r="187" spans="1:34" x14ac:dyDescent="0.25">
      <c r="A187" s="207" t="s">
        <v>73</v>
      </c>
      <c r="B187" s="45" t="s">
        <v>56</v>
      </c>
      <c r="C187" s="45" t="s">
        <v>102</v>
      </c>
      <c r="D187" s="75" t="s">
        <v>92</v>
      </c>
      <c r="E187" s="76" t="s">
        <v>636</v>
      </c>
      <c r="F187" s="45" t="s">
        <v>175</v>
      </c>
      <c r="G187" s="45" t="s">
        <v>229</v>
      </c>
      <c r="H187" s="45" t="s">
        <v>213</v>
      </c>
      <c r="I187" s="219" t="s">
        <v>634</v>
      </c>
      <c r="J187" s="218">
        <v>44392</v>
      </c>
      <c r="K187" s="218">
        <v>44561</v>
      </c>
      <c r="L187" s="208">
        <v>12</v>
      </c>
      <c r="M187" s="211">
        <f t="shared" ref="M187:M198" si="14">IF(AND(G187="Manager",D187="Spain"),164,IF(AND(G187="Teacher/Trainer/Researcher",D187="Spain"),137,IF(AND(G187="Technical Staff",D187="Spain"),164,IF(AND(G187="Administrative staff",D187="Spain"),164,IF(AND(G187="Manager",D187="Slovenia"),164,IF(AND(G187="Teacher/Trainer/Researcher",D187="Slovenia"),137,IF(AND(G187="Technical Staff",D187="Slovenia"),102,IF(AND(G187="Administrative staff",D187="Slovenia"),78,IF(AND(G187="Manager",D187="Italy"),280,IF(AND(G187="Teacher/Trainer/Researcher",D187="Italy"),214,IF(AND(G187="Technical Staff",D187="Italy"),162,IF(AND(G187="Administrative staff",D187="Italy"),131,IF(AND(G187="Manager",D187="Kazakstan"),77,IF(AND(G187="Teacher/Trainer/Researcher",D187="Kazakstan"),57,IF(AND(G187="Technical Staff",D187="Kazakstan"),40,IF(AND(G187="Administrative staff",D187="Kazakstan"),32,IF(AND(G187="Manager",D187="Turkmenistan"),47,IF(AND(G187="Teacher/Trainer/Researcher",D187="Turkmenistan"),33,IF(AND(G187="Technical Staff",D187="Turkmenistan"),22,IF(AND(G187="Administrative staff",D187="Turkmenistan"),17,IF(AND(G187="Manager",D187="Tajikistan"),47,IF(AND(G187="Teacher/Trainer/Researcher",D187="Tajikistan"),33,IF(AND(G187="Technical Staff",D187="Tajikistan"),22,IF(AND(G187="Administrative staff",D187="Tajikistan"),17,))))))))))))))))))))))))</f>
        <v>17</v>
      </c>
      <c r="N187" s="211">
        <f>Tabla3[[#This Row],[NUMBER OF DAYS]]*Tabla3[[#This Row],[MAX. UNIT COST PER DAY]]</f>
        <v>204</v>
      </c>
      <c r="O187" s="188"/>
      <c r="P187" s="188"/>
      <c r="Q187" s="188"/>
      <c r="R187" s="188"/>
      <c r="S187" s="188"/>
      <c r="T187" s="188"/>
      <c r="U187" s="188"/>
      <c r="V187" s="188"/>
      <c r="W187" s="188"/>
      <c r="X187" s="188"/>
      <c r="Y187" s="188"/>
      <c r="Z187" s="188"/>
      <c r="AA187" s="188"/>
      <c r="AB187" s="188"/>
      <c r="AC187" s="188"/>
      <c r="AD187" s="188"/>
      <c r="AE187" s="188"/>
      <c r="AF187" s="188"/>
      <c r="AG187" s="188"/>
      <c r="AH187" s="188"/>
    </row>
    <row r="188" spans="1:34" x14ac:dyDescent="0.25">
      <c r="A188" s="207" t="s">
        <v>74</v>
      </c>
      <c r="B188" s="45" t="s">
        <v>56</v>
      </c>
      <c r="C188" s="45" t="s">
        <v>102</v>
      </c>
      <c r="D188" s="75" t="s">
        <v>92</v>
      </c>
      <c r="E188" s="76" t="s">
        <v>636</v>
      </c>
      <c r="F188" s="45" t="s">
        <v>175</v>
      </c>
      <c r="G188" s="45" t="s">
        <v>229</v>
      </c>
      <c r="H188" s="45" t="s">
        <v>210</v>
      </c>
      <c r="I188" s="200" t="s">
        <v>712</v>
      </c>
      <c r="J188" s="218">
        <v>44392</v>
      </c>
      <c r="K188" s="218">
        <v>44561</v>
      </c>
      <c r="L188" s="208">
        <v>4</v>
      </c>
      <c r="M188" s="211">
        <f t="shared" si="14"/>
        <v>17</v>
      </c>
      <c r="N188" s="211">
        <f>Tabla3[[#This Row],[NUMBER OF DAYS]]*Tabla3[[#This Row],[MAX. UNIT COST PER DAY]]</f>
        <v>68</v>
      </c>
      <c r="O188" s="188"/>
      <c r="P188" s="188"/>
      <c r="Q188" s="188"/>
      <c r="R188" s="188"/>
      <c r="S188" s="188"/>
      <c r="T188" s="188"/>
      <c r="U188" s="188"/>
      <c r="V188" s="188"/>
      <c r="W188" s="188"/>
      <c r="X188" s="188"/>
      <c r="Y188" s="188"/>
      <c r="Z188" s="188"/>
      <c r="AA188" s="188"/>
      <c r="AB188" s="188"/>
      <c r="AC188" s="188"/>
      <c r="AD188" s="188"/>
      <c r="AE188" s="188"/>
      <c r="AF188" s="188"/>
      <c r="AG188" s="188"/>
      <c r="AH188" s="188"/>
    </row>
    <row r="189" spans="1:34" x14ac:dyDescent="0.25">
      <c r="A189" s="207" t="s">
        <v>72</v>
      </c>
      <c r="B189" s="45" t="s">
        <v>56</v>
      </c>
      <c r="C189" s="45" t="s">
        <v>102</v>
      </c>
      <c r="D189" s="75" t="s">
        <v>92</v>
      </c>
      <c r="E189" s="76" t="s">
        <v>636</v>
      </c>
      <c r="F189" s="45" t="s">
        <v>175</v>
      </c>
      <c r="G189" s="45" t="s">
        <v>229</v>
      </c>
      <c r="H189" s="45" t="s">
        <v>212</v>
      </c>
      <c r="I189" s="219" t="s">
        <v>635</v>
      </c>
      <c r="J189" s="218">
        <v>44392</v>
      </c>
      <c r="K189" s="218">
        <v>44561</v>
      </c>
      <c r="L189" s="208">
        <v>4</v>
      </c>
      <c r="M189" s="211">
        <f t="shared" si="14"/>
        <v>17</v>
      </c>
      <c r="N189" s="211">
        <f>Tabla3[[#This Row],[NUMBER OF DAYS]]*Tabla3[[#This Row],[MAX. UNIT COST PER DAY]]</f>
        <v>68</v>
      </c>
      <c r="O189" s="188"/>
      <c r="P189" s="188"/>
      <c r="Q189" s="188"/>
      <c r="R189" s="188"/>
      <c r="S189" s="188"/>
      <c r="T189" s="188"/>
      <c r="U189" s="188"/>
      <c r="V189" s="188"/>
      <c r="W189" s="188"/>
      <c r="X189" s="188"/>
      <c r="Y189" s="188"/>
      <c r="Z189" s="188"/>
      <c r="AA189" s="188"/>
      <c r="AB189" s="188"/>
      <c r="AC189" s="188"/>
      <c r="AD189" s="188"/>
      <c r="AE189" s="188"/>
      <c r="AF189" s="188"/>
      <c r="AG189" s="188"/>
      <c r="AH189" s="188"/>
    </row>
    <row r="190" spans="1:34" x14ac:dyDescent="0.25">
      <c r="A190" s="94" t="s">
        <v>24</v>
      </c>
      <c r="B190" s="45" t="s">
        <v>56</v>
      </c>
      <c r="C190" s="45" t="s">
        <v>102</v>
      </c>
      <c r="D190" s="75" t="s">
        <v>92</v>
      </c>
      <c r="E190" s="76" t="s">
        <v>638</v>
      </c>
      <c r="F190" s="64" t="s">
        <v>181</v>
      </c>
      <c r="G190" s="208" t="s">
        <v>48</v>
      </c>
      <c r="H190" s="45" t="s">
        <v>225</v>
      </c>
      <c r="I190" s="200" t="s">
        <v>640</v>
      </c>
      <c r="J190" s="218">
        <v>44392</v>
      </c>
      <c r="K190" s="218">
        <v>44561</v>
      </c>
      <c r="L190" s="208">
        <v>3</v>
      </c>
      <c r="M190" s="211">
        <f t="shared" si="14"/>
        <v>33</v>
      </c>
      <c r="N190" s="211">
        <f>Tabla3[[#This Row],[NUMBER OF DAYS]]*Tabla3[[#This Row],[MAX. UNIT COST PER DAY]]</f>
        <v>99</v>
      </c>
      <c r="O190" s="188"/>
      <c r="P190" s="188"/>
      <c r="Q190" s="188"/>
      <c r="R190" s="188"/>
      <c r="S190" s="188"/>
      <c r="T190" s="188"/>
      <c r="U190" s="188"/>
      <c r="V190" s="188"/>
      <c r="W190" s="188"/>
      <c r="X190" s="188"/>
      <c r="Y190" s="188"/>
      <c r="Z190" s="188"/>
      <c r="AA190" s="188"/>
      <c r="AB190" s="188"/>
      <c r="AC190" s="188"/>
      <c r="AD190" s="188"/>
      <c r="AE190" s="188"/>
      <c r="AF190" s="188"/>
      <c r="AG190" s="188"/>
      <c r="AH190" s="188"/>
    </row>
    <row r="191" spans="1:34" x14ac:dyDescent="0.25">
      <c r="A191" s="94" t="s">
        <v>73</v>
      </c>
      <c r="B191" s="45" t="s">
        <v>56</v>
      </c>
      <c r="C191" s="45" t="s">
        <v>102</v>
      </c>
      <c r="D191" s="75" t="s">
        <v>92</v>
      </c>
      <c r="E191" s="76" t="s">
        <v>638</v>
      </c>
      <c r="F191" s="64" t="s">
        <v>181</v>
      </c>
      <c r="G191" s="208" t="s">
        <v>48</v>
      </c>
      <c r="H191" s="45" t="s">
        <v>213</v>
      </c>
      <c r="I191" s="200" t="s">
        <v>641</v>
      </c>
      <c r="J191" s="218">
        <v>44392</v>
      </c>
      <c r="K191" s="218">
        <v>44561</v>
      </c>
      <c r="L191" s="45">
        <v>2</v>
      </c>
      <c r="M191" s="99">
        <f t="shared" si="14"/>
        <v>33</v>
      </c>
      <c r="N191" s="99">
        <f>Tabla3[[#This Row],[NUMBER OF DAYS]]*Tabla3[[#This Row],[MAX. UNIT COST PER DAY]]</f>
        <v>66</v>
      </c>
      <c r="O191" s="188"/>
      <c r="P191" s="188"/>
      <c r="Q191" s="188"/>
      <c r="R191" s="188"/>
      <c r="S191" s="188"/>
      <c r="T191" s="188"/>
      <c r="U191" s="188"/>
      <c r="V191" s="188"/>
      <c r="W191" s="188"/>
      <c r="X191" s="188"/>
      <c r="Y191" s="188"/>
      <c r="Z191" s="188"/>
      <c r="AA191" s="188"/>
      <c r="AB191" s="188"/>
      <c r="AC191" s="188"/>
      <c r="AD191" s="188"/>
      <c r="AE191" s="188"/>
      <c r="AF191" s="188"/>
      <c r="AG191" s="188"/>
      <c r="AH191" s="188"/>
    </row>
    <row r="192" spans="1:34" x14ac:dyDescent="0.25">
      <c r="A192" s="94" t="s">
        <v>74</v>
      </c>
      <c r="B192" s="45" t="s">
        <v>56</v>
      </c>
      <c r="C192" s="45" t="s">
        <v>102</v>
      </c>
      <c r="D192" s="75" t="s">
        <v>92</v>
      </c>
      <c r="E192" s="76" t="s">
        <v>638</v>
      </c>
      <c r="F192" s="64" t="s">
        <v>181</v>
      </c>
      <c r="G192" s="208" t="s">
        <v>48</v>
      </c>
      <c r="H192" s="45" t="s">
        <v>210</v>
      </c>
      <c r="I192" s="200" t="s">
        <v>639</v>
      </c>
      <c r="J192" s="218">
        <v>44392</v>
      </c>
      <c r="K192" s="218">
        <v>44561</v>
      </c>
      <c r="L192" s="45">
        <v>2</v>
      </c>
      <c r="M192" s="99">
        <f t="shared" si="14"/>
        <v>33</v>
      </c>
      <c r="N192" s="99">
        <f>Tabla3[[#This Row],[NUMBER OF DAYS]]*Tabla3[[#This Row],[MAX. UNIT COST PER DAY]]</f>
        <v>66</v>
      </c>
      <c r="O192" s="188"/>
      <c r="P192" s="188"/>
      <c r="Q192" s="188"/>
      <c r="R192" s="188"/>
      <c r="S192" s="188"/>
      <c r="T192" s="188"/>
      <c r="U192" s="188"/>
      <c r="V192" s="188"/>
      <c r="W192" s="188"/>
      <c r="X192" s="188"/>
      <c r="Y192" s="188"/>
      <c r="Z192" s="188"/>
      <c r="AA192" s="188"/>
      <c r="AB192" s="188"/>
      <c r="AC192" s="188"/>
      <c r="AD192" s="188"/>
      <c r="AE192" s="188"/>
      <c r="AF192" s="188"/>
      <c r="AG192" s="188"/>
      <c r="AH192" s="188"/>
    </row>
    <row r="193" spans="1:34" x14ac:dyDescent="0.25">
      <c r="A193" s="94" t="s">
        <v>24</v>
      </c>
      <c r="B193" s="45" t="s">
        <v>56</v>
      </c>
      <c r="C193" s="45" t="s">
        <v>102</v>
      </c>
      <c r="D193" s="75" t="s">
        <v>92</v>
      </c>
      <c r="E193" s="76" t="s">
        <v>645</v>
      </c>
      <c r="F193" s="158" t="s">
        <v>118</v>
      </c>
      <c r="G193" s="45" t="s">
        <v>47</v>
      </c>
      <c r="H193" s="45" t="s">
        <v>225</v>
      </c>
      <c r="I193" s="95" t="s">
        <v>642</v>
      </c>
      <c r="J193" s="210">
        <v>44392</v>
      </c>
      <c r="K193" s="218">
        <v>44561</v>
      </c>
      <c r="L193" s="45">
        <v>9</v>
      </c>
      <c r="M193" s="99">
        <f t="shared" si="14"/>
        <v>47</v>
      </c>
      <c r="N193" s="99">
        <f>Tabla3[[#This Row],[NUMBER OF DAYS]]*Tabla3[[#This Row],[MAX. UNIT COST PER DAY]]</f>
        <v>423</v>
      </c>
      <c r="O193" s="188"/>
      <c r="P193" s="188"/>
      <c r="Q193" s="188"/>
      <c r="R193" s="188"/>
      <c r="S193" s="188"/>
      <c r="T193" s="188"/>
      <c r="U193" s="188"/>
      <c r="V193" s="188"/>
      <c r="W193" s="188"/>
      <c r="X193" s="188"/>
      <c r="Y193" s="188"/>
      <c r="Z193" s="188"/>
      <c r="AA193" s="188"/>
      <c r="AB193" s="188"/>
      <c r="AC193" s="188"/>
      <c r="AD193" s="188"/>
      <c r="AE193" s="188"/>
      <c r="AF193" s="188"/>
      <c r="AG193" s="188"/>
      <c r="AH193" s="188"/>
    </row>
    <row r="194" spans="1:34" x14ac:dyDescent="0.25">
      <c r="A194" s="94" t="s">
        <v>73</v>
      </c>
      <c r="B194" s="45" t="s">
        <v>56</v>
      </c>
      <c r="C194" s="45" t="s">
        <v>102</v>
      </c>
      <c r="D194" s="75" t="s">
        <v>92</v>
      </c>
      <c r="E194" s="76" t="s">
        <v>645</v>
      </c>
      <c r="F194" s="158" t="s">
        <v>118</v>
      </c>
      <c r="G194" s="45" t="s">
        <v>47</v>
      </c>
      <c r="H194" s="45" t="s">
        <v>213</v>
      </c>
      <c r="I194" s="95" t="s">
        <v>643</v>
      </c>
      <c r="J194" s="210">
        <v>44392</v>
      </c>
      <c r="K194" s="218">
        <v>44561</v>
      </c>
      <c r="L194" s="45">
        <v>15</v>
      </c>
      <c r="M194" s="99">
        <f t="shared" si="14"/>
        <v>47</v>
      </c>
      <c r="N194" s="99">
        <f>Tabla3[[#This Row],[NUMBER OF DAYS]]*Tabla3[[#This Row],[MAX. UNIT COST PER DAY]]</f>
        <v>705</v>
      </c>
      <c r="O194" s="188"/>
      <c r="P194" s="188"/>
      <c r="Q194" s="188"/>
      <c r="R194" s="188"/>
      <c r="S194" s="188"/>
      <c r="T194" s="188"/>
      <c r="U194" s="188"/>
      <c r="V194" s="188"/>
      <c r="W194" s="188"/>
      <c r="X194" s="188"/>
      <c r="Y194" s="188"/>
      <c r="Z194" s="188"/>
      <c r="AA194" s="188"/>
      <c r="AB194" s="188"/>
      <c r="AC194" s="188"/>
      <c r="AD194" s="188"/>
      <c r="AE194" s="188"/>
      <c r="AF194" s="188"/>
      <c r="AG194" s="188"/>
      <c r="AH194" s="188"/>
    </row>
    <row r="195" spans="1:34" x14ac:dyDescent="0.25">
      <c r="A195" s="207" t="s">
        <v>74</v>
      </c>
      <c r="B195" s="45" t="s">
        <v>56</v>
      </c>
      <c r="C195" s="45" t="s">
        <v>102</v>
      </c>
      <c r="D195" s="75" t="s">
        <v>92</v>
      </c>
      <c r="E195" s="76" t="s">
        <v>645</v>
      </c>
      <c r="F195" s="158" t="s">
        <v>118</v>
      </c>
      <c r="G195" s="45" t="s">
        <v>47</v>
      </c>
      <c r="H195" s="45" t="s">
        <v>210</v>
      </c>
      <c r="I195" s="209" t="s">
        <v>644</v>
      </c>
      <c r="J195" s="210">
        <v>44392</v>
      </c>
      <c r="K195" s="218">
        <v>44561</v>
      </c>
      <c r="L195" s="208">
        <v>6</v>
      </c>
      <c r="M195" s="211">
        <f t="shared" si="14"/>
        <v>47</v>
      </c>
      <c r="N195" s="211">
        <f>Tabla3[[#This Row],[NUMBER OF DAYS]]*Tabla3[[#This Row],[MAX. UNIT COST PER DAY]]</f>
        <v>282</v>
      </c>
      <c r="O195" s="188"/>
      <c r="P195" s="188"/>
      <c r="Q195" s="188"/>
      <c r="R195" s="188"/>
      <c r="S195" s="188"/>
      <c r="T195" s="188"/>
      <c r="U195" s="188"/>
      <c r="V195" s="188"/>
      <c r="W195" s="188"/>
      <c r="X195" s="188"/>
      <c r="Y195" s="188"/>
      <c r="Z195" s="188"/>
      <c r="AA195" s="188"/>
      <c r="AB195" s="188"/>
      <c r="AC195" s="188"/>
      <c r="AD195" s="188"/>
      <c r="AE195" s="188"/>
      <c r="AF195" s="188"/>
      <c r="AG195" s="188"/>
      <c r="AH195" s="188"/>
    </row>
    <row r="196" spans="1:34" x14ac:dyDescent="0.25">
      <c r="A196" s="94" t="s">
        <v>24</v>
      </c>
      <c r="B196" s="45" t="s">
        <v>56</v>
      </c>
      <c r="C196" s="45" t="s">
        <v>102</v>
      </c>
      <c r="D196" s="75" t="s">
        <v>92</v>
      </c>
      <c r="E196" s="75" t="s">
        <v>649</v>
      </c>
      <c r="F196" s="45" t="s">
        <v>183</v>
      </c>
      <c r="G196" s="45" t="s">
        <v>226</v>
      </c>
      <c r="H196" s="45" t="s">
        <v>225</v>
      </c>
      <c r="I196" s="209" t="s">
        <v>646</v>
      </c>
      <c r="J196" s="210">
        <v>44392</v>
      </c>
      <c r="K196" s="218">
        <v>44561</v>
      </c>
      <c r="L196" s="216">
        <v>4</v>
      </c>
      <c r="M196" s="99">
        <f t="shared" si="14"/>
        <v>22</v>
      </c>
      <c r="N196" s="99">
        <f>Tabla3[[#This Row],[NUMBER OF DAYS]]*Tabla3[[#This Row],[MAX. UNIT COST PER DAY]]</f>
        <v>88</v>
      </c>
      <c r="O196" s="188"/>
      <c r="P196" s="188"/>
      <c r="Q196" s="188"/>
      <c r="R196" s="188"/>
      <c r="S196" s="188"/>
      <c r="T196" s="188"/>
      <c r="U196" s="188"/>
      <c r="V196" s="188"/>
      <c r="W196" s="188"/>
      <c r="X196" s="188"/>
      <c r="Y196" s="188"/>
      <c r="Z196" s="188"/>
      <c r="AA196" s="188"/>
      <c r="AB196" s="188"/>
      <c r="AC196" s="188"/>
      <c r="AD196" s="188"/>
      <c r="AE196" s="188"/>
      <c r="AF196" s="188"/>
      <c r="AG196" s="188"/>
      <c r="AH196" s="188"/>
    </row>
    <row r="197" spans="1:34" x14ac:dyDescent="0.25">
      <c r="A197" s="94" t="s">
        <v>73</v>
      </c>
      <c r="B197" s="45" t="s">
        <v>56</v>
      </c>
      <c r="C197" s="45" t="s">
        <v>102</v>
      </c>
      <c r="D197" s="75" t="s">
        <v>92</v>
      </c>
      <c r="E197" s="75" t="s">
        <v>649</v>
      </c>
      <c r="F197" s="45" t="s">
        <v>183</v>
      </c>
      <c r="G197" s="45" t="s">
        <v>226</v>
      </c>
      <c r="H197" s="45" t="s">
        <v>213</v>
      </c>
      <c r="I197" s="95" t="s">
        <v>647</v>
      </c>
      <c r="J197" s="210">
        <v>44392</v>
      </c>
      <c r="K197" s="218">
        <v>44561</v>
      </c>
      <c r="L197" s="96">
        <v>11</v>
      </c>
      <c r="M197" s="99">
        <f t="shared" si="14"/>
        <v>22</v>
      </c>
      <c r="N197" s="99">
        <f>Tabla3[[#This Row],[NUMBER OF DAYS]]*Tabla3[[#This Row],[MAX. UNIT COST PER DAY]]</f>
        <v>242</v>
      </c>
      <c r="O197" s="188"/>
      <c r="P197" s="188"/>
      <c r="Q197" s="188"/>
      <c r="R197" s="188"/>
      <c r="S197" s="188"/>
      <c r="T197" s="188"/>
      <c r="U197" s="188"/>
      <c r="V197" s="188"/>
      <c r="W197" s="188"/>
      <c r="X197" s="188"/>
      <c r="Y197" s="188"/>
      <c r="Z197" s="188"/>
      <c r="AA197" s="188"/>
      <c r="AB197" s="188"/>
      <c r="AC197" s="188"/>
      <c r="AD197" s="188"/>
      <c r="AE197" s="188"/>
      <c r="AF197" s="188"/>
      <c r="AG197" s="188"/>
      <c r="AH197" s="188"/>
    </row>
    <row r="198" spans="1:34" x14ac:dyDescent="0.25">
      <c r="A198" s="94" t="s">
        <v>74</v>
      </c>
      <c r="B198" s="45" t="s">
        <v>56</v>
      </c>
      <c r="C198" s="45" t="s">
        <v>102</v>
      </c>
      <c r="D198" s="75" t="s">
        <v>92</v>
      </c>
      <c r="E198" s="75" t="s">
        <v>649</v>
      </c>
      <c r="F198" s="45" t="s">
        <v>183</v>
      </c>
      <c r="G198" s="45" t="s">
        <v>226</v>
      </c>
      <c r="H198" s="45" t="s">
        <v>210</v>
      </c>
      <c r="I198" s="95" t="s">
        <v>648</v>
      </c>
      <c r="J198" s="210">
        <v>44392</v>
      </c>
      <c r="K198" s="218">
        <v>44561</v>
      </c>
      <c r="L198" s="96">
        <v>8</v>
      </c>
      <c r="M198" s="99">
        <f t="shared" si="14"/>
        <v>22</v>
      </c>
      <c r="N198" s="99">
        <f>Tabla3[[#This Row],[NUMBER OF DAYS]]*Tabla3[[#This Row],[MAX. UNIT COST PER DAY]]</f>
        <v>176</v>
      </c>
      <c r="O198" s="188"/>
      <c r="P198" s="188"/>
      <c r="Q198" s="188"/>
      <c r="R198" s="188"/>
      <c r="S198" s="188"/>
      <c r="T198" s="188"/>
      <c r="U198" s="188"/>
      <c r="V198" s="188"/>
      <c r="W198" s="188"/>
      <c r="X198" s="188"/>
      <c r="Y198" s="188"/>
      <c r="Z198" s="188"/>
      <c r="AA198" s="188"/>
      <c r="AB198" s="188"/>
      <c r="AC198" s="188"/>
      <c r="AD198" s="188"/>
      <c r="AE198" s="188"/>
      <c r="AF198" s="188"/>
      <c r="AG198" s="188"/>
      <c r="AH198" s="188"/>
    </row>
    <row r="199" spans="1:34" x14ac:dyDescent="0.25">
      <c r="A199" s="89"/>
      <c r="B199" s="66"/>
      <c r="C199" s="66"/>
      <c r="D199" s="69"/>
      <c r="E199" s="91"/>
      <c r="F199" s="89"/>
      <c r="G199" s="89"/>
      <c r="H199" s="89"/>
      <c r="I199" s="89"/>
      <c r="J199" s="91"/>
      <c r="K199" s="91"/>
      <c r="L199" s="89"/>
      <c r="M199" s="102">
        <f>Tabla3[[#This Row],[TO]]*Tabla3[[#This Row],[NUMBER OF DAYS]]</f>
        <v>0</v>
      </c>
      <c r="N199" s="102">
        <f>Tabla3[[#This Row],[NUMBER OF DAYS]]*Tabla3[[#This Row],[MAX. UNIT COST PER DAY]]</f>
        <v>0</v>
      </c>
    </row>
    <row r="200" spans="1:34" x14ac:dyDescent="0.25">
      <c r="A200" s="45" t="s">
        <v>74</v>
      </c>
      <c r="B200" s="45" t="s">
        <v>57</v>
      </c>
      <c r="C200" s="45" t="s">
        <v>104</v>
      </c>
      <c r="D200" s="75" t="s">
        <v>92</v>
      </c>
      <c r="E200" s="75" t="s">
        <v>245</v>
      </c>
      <c r="F200" s="45" t="s">
        <v>128</v>
      </c>
      <c r="G200" s="45" t="s">
        <v>47</v>
      </c>
      <c r="H200" s="45" t="s">
        <v>210</v>
      </c>
      <c r="I200" s="45" t="s">
        <v>246</v>
      </c>
      <c r="J200" s="78">
        <v>43845</v>
      </c>
      <c r="K200" s="78">
        <v>44026</v>
      </c>
      <c r="L200" s="45">
        <v>7</v>
      </c>
      <c r="M200" s="99">
        <f t="shared" ref="M200:M206" si="15">IF(AND(G200="Manager",D200="Spain"),164,IF(AND(G200="Teacher/Trainer/Researcher",D200="Spain"),137,IF(AND(G200="Technical Staff",D200="Spain"),102,IF(AND(G200="Administrative staff",D200="Spain"),78,IF(AND(G200="Manager",D200="Slovenia"),164,IF(AND(G200="Teacher/Trainer/Researcher",D200="Slovenia"),137,IF(AND(G200="Technical Staff",D200="Slovenia"),102,IF(AND(G200="Administrative staff",D200="Slovenia"),78,IF(AND(G200="Manager",D200="Italy"),280,IF(AND(G200="Teacher/Trainer/Researcher",D200="Italy"),214,IF(AND(G200="Technical Staff",D200="Italy"),162,IF(AND(G200="Administrative staff",D200="Italy"),131,IF(AND(G200="Manager",D200="Kazakhstan"),77,IF(AND(G200="Teacher/Trainer/Researcher",D200="Kazakhstan"),57,IF(AND(G200="Technical Staff",D200="Kazakhstan"),40,IF(AND(G200="Administrative staff",D200="Kazakhstan"),32,IF(AND(G200="Manager",D200="Turkmenistan"),47,IF(AND(G200="Teacher/Trainer/Researcher",D200="Turkmenistan"),33,IF(AND(G200="Technical Staff",D200="Turkmenistan"),22,IF(AND(G200="Administrative staff",D200="Turkmenistan"),17,IF(AND(G200="Manager",D200="Tajikistan"),47,IF(AND(G200="Teacher/Trainer/Researcher",D200="Tajikistan"),33,IF(AND(G200="Technical Staff",D200="Tajikistan"),22,IF(AND(G200="Administrative staff",D200="Tajikistan"),17,))))))))))))))))))))))))</f>
        <v>47</v>
      </c>
      <c r="N200" s="99">
        <f>Tabla3[[#This Row],[NUMBER OF DAYS]]*Tabla3[[#This Row],[MAX. UNIT COST PER DAY]]</f>
        <v>329</v>
      </c>
    </row>
    <row r="201" spans="1:34" x14ac:dyDescent="0.25">
      <c r="A201" s="147" t="s">
        <v>23</v>
      </c>
      <c r="B201" s="45" t="s">
        <v>57</v>
      </c>
      <c r="C201" s="45" t="s">
        <v>104</v>
      </c>
      <c r="D201" s="75" t="s">
        <v>92</v>
      </c>
      <c r="E201" s="75" t="s">
        <v>245</v>
      </c>
      <c r="F201" s="45" t="s">
        <v>128</v>
      </c>
      <c r="G201" s="45" t="s">
        <v>47</v>
      </c>
      <c r="H201" s="45" t="s">
        <v>211</v>
      </c>
      <c r="I201" s="148" t="s">
        <v>247</v>
      </c>
      <c r="J201" s="78">
        <v>43845</v>
      </c>
      <c r="K201" s="78">
        <v>44026</v>
      </c>
      <c r="L201" s="148">
        <v>2</v>
      </c>
      <c r="M201" s="99">
        <f t="shared" si="15"/>
        <v>47</v>
      </c>
      <c r="N201" s="150">
        <f>Tabla3[[#This Row],[NUMBER OF DAYS]]*Tabla3[[#This Row],[MAX. UNIT COST PER DAY]]</f>
        <v>94</v>
      </c>
      <c r="O201" s="146"/>
      <c r="P201" s="146"/>
      <c r="Q201" s="146"/>
      <c r="R201" s="146"/>
      <c r="S201" s="146"/>
      <c r="T201" s="146"/>
      <c r="U201" s="146"/>
      <c r="V201" s="146"/>
      <c r="W201" s="146"/>
      <c r="X201" s="146"/>
      <c r="Y201" s="146"/>
      <c r="Z201" s="146"/>
      <c r="AA201" s="146"/>
      <c r="AB201" s="146"/>
      <c r="AC201" s="146"/>
      <c r="AD201" s="146"/>
      <c r="AE201" s="146"/>
      <c r="AF201" s="146"/>
      <c r="AG201" s="146"/>
      <c r="AH201" s="146"/>
    </row>
    <row r="202" spans="1:34" x14ac:dyDescent="0.25">
      <c r="A202" s="147" t="s">
        <v>73</v>
      </c>
      <c r="B202" s="45" t="s">
        <v>57</v>
      </c>
      <c r="C202" s="45" t="s">
        <v>104</v>
      </c>
      <c r="D202" s="75" t="s">
        <v>92</v>
      </c>
      <c r="E202" s="75" t="s">
        <v>245</v>
      </c>
      <c r="F202" s="45" t="s">
        <v>128</v>
      </c>
      <c r="G202" s="45" t="s">
        <v>47</v>
      </c>
      <c r="H202" s="45" t="s">
        <v>213</v>
      </c>
      <c r="I202" s="148" t="s">
        <v>244</v>
      </c>
      <c r="J202" s="78">
        <v>43845</v>
      </c>
      <c r="K202" s="78">
        <v>44026</v>
      </c>
      <c r="L202" s="148">
        <v>1</v>
      </c>
      <c r="M202" s="99">
        <f t="shared" si="15"/>
        <v>47</v>
      </c>
      <c r="N202" s="150">
        <f>Tabla3[[#This Row],[NUMBER OF DAYS]]*Tabla3[[#This Row],[MAX. UNIT COST PER DAY]]</f>
        <v>47</v>
      </c>
      <c r="O202" s="146"/>
      <c r="P202" s="146"/>
      <c r="Q202" s="146"/>
      <c r="R202" s="146"/>
      <c r="S202" s="146"/>
      <c r="T202" s="146"/>
      <c r="U202" s="146"/>
      <c r="V202" s="146"/>
      <c r="W202" s="146"/>
      <c r="X202" s="146"/>
      <c r="Y202" s="146"/>
      <c r="Z202" s="146"/>
      <c r="AA202" s="146"/>
      <c r="AB202" s="146"/>
      <c r="AC202" s="146"/>
      <c r="AD202" s="146"/>
      <c r="AE202" s="146"/>
      <c r="AF202" s="146"/>
      <c r="AG202" s="146"/>
      <c r="AH202" s="146"/>
    </row>
    <row r="203" spans="1:34" x14ac:dyDescent="0.25">
      <c r="A203" s="94" t="s">
        <v>23</v>
      </c>
      <c r="B203" s="45" t="s">
        <v>57</v>
      </c>
      <c r="C203" s="45" t="s">
        <v>104</v>
      </c>
      <c r="D203" s="75" t="s">
        <v>92</v>
      </c>
      <c r="E203" s="75" t="s">
        <v>254</v>
      </c>
      <c r="F203" s="45" t="s">
        <v>128</v>
      </c>
      <c r="G203" s="45" t="s">
        <v>47</v>
      </c>
      <c r="H203" s="45" t="s">
        <v>211</v>
      </c>
      <c r="I203" s="45" t="s">
        <v>324</v>
      </c>
      <c r="J203" s="78">
        <v>44027</v>
      </c>
      <c r="K203" s="78">
        <v>44210</v>
      </c>
      <c r="L203" s="45">
        <v>2</v>
      </c>
      <c r="M203" s="99">
        <f t="shared" si="15"/>
        <v>47</v>
      </c>
      <c r="N203" s="99">
        <f>Tabla3[[#This Row],[NUMBER OF DAYS]]*Tabla3[[#This Row],[MAX. UNIT COST PER DAY]]</f>
        <v>94</v>
      </c>
      <c r="O203" s="162"/>
      <c r="P203" s="152"/>
      <c r="Q203" s="152"/>
      <c r="R203" s="152"/>
      <c r="S203" s="152"/>
      <c r="T203" s="152"/>
      <c r="U203" s="152"/>
      <c r="V203" s="152"/>
      <c r="W203" s="152"/>
      <c r="X203" s="152"/>
      <c r="Y203" s="152"/>
      <c r="Z203" s="152"/>
      <c r="AA203" s="152"/>
      <c r="AB203" s="152"/>
      <c r="AC203" s="152"/>
      <c r="AD203" s="152"/>
      <c r="AE203" s="152"/>
      <c r="AF203" s="152"/>
      <c r="AG203" s="152"/>
      <c r="AH203" s="152"/>
    </row>
    <row r="204" spans="1:34" x14ac:dyDescent="0.25">
      <c r="A204" s="94" t="s">
        <v>73</v>
      </c>
      <c r="B204" s="45" t="s">
        <v>57</v>
      </c>
      <c r="C204" s="45" t="s">
        <v>104</v>
      </c>
      <c r="D204" s="75" t="s">
        <v>92</v>
      </c>
      <c r="E204" s="75" t="s">
        <v>254</v>
      </c>
      <c r="F204" s="45" t="s">
        <v>128</v>
      </c>
      <c r="G204" s="45" t="s">
        <v>47</v>
      </c>
      <c r="H204" s="45" t="s">
        <v>213</v>
      </c>
      <c r="I204" s="45" t="s">
        <v>327</v>
      </c>
      <c r="J204" s="78">
        <v>44027</v>
      </c>
      <c r="K204" s="78">
        <v>44210</v>
      </c>
      <c r="L204" s="45">
        <v>4</v>
      </c>
      <c r="M204" s="99">
        <f t="shared" si="15"/>
        <v>47</v>
      </c>
      <c r="N204" s="99">
        <f>Tabla3[[#This Row],[NUMBER OF DAYS]]*Tabla3[[#This Row],[MAX. UNIT COST PER DAY]]</f>
        <v>188</v>
      </c>
      <c r="O204" s="162"/>
      <c r="P204" s="152"/>
      <c r="Q204" s="152"/>
      <c r="R204" s="152"/>
      <c r="S204" s="152"/>
      <c r="T204" s="152"/>
      <c r="U204" s="152"/>
      <c r="V204" s="152"/>
      <c r="W204" s="152"/>
      <c r="X204" s="152"/>
      <c r="Y204" s="152"/>
      <c r="Z204" s="152"/>
      <c r="AA204" s="152"/>
      <c r="AB204" s="152"/>
      <c r="AC204" s="152"/>
      <c r="AD204" s="152"/>
      <c r="AE204" s="152"/>
      <c r="AF204" s="152"/>
      <c r="AG204" s="152"/>
      <c r="AH204" s="152"/>
    </row>
    <row r="205" spans="1:34" x14ac:dyDescent="0.25">
      <c r="A205" s="94" t="s">
        <v>74</v>
      </c>
      <c r="B205" s="45" t="s">
        <v>57</v>
      </c>
      <c r="C205" s="45" t="s">
        <v>104</v>
      </c>
      <c r="D205" s="75" t="s">
        <v>92</v>
      </c>
      <c r="E205" s="75" t="s">
        <v>254</v>
      </c>
      <c r="F205" s="45" t="s">
        <v>128</v>
      </c>
      <c r="G205" s="45" t="s">
        <v>47</v>
      </c>
      <c r="H205" s="45" t="s">
        <v>210</v>
      </c>
      <c r="I205" s="45" t="s">
        <v>325</v>
      </c>
      <c r="J205" s="78">
        <v>44027</v>
      </c>
      <c r="K205" s="78">
        <v>44210</v>
      </c>
      <c r="L205" s="45">
        <v>5</v>
      </c>
      <c r="M205" s="99">
        <f t="shared" si="15"/>
        <v>47</v>
      </c>
      <c r="N205" s="99">
        <f>Tabla3[[#This Row],[NUMBER OF DAYS]]*Tabla3[[#This Row],[MAX. UNIT COST PER DAY]]</f>
        <v>235</v>
      </c>
      <c r="O205" s="162"/>
      <c r="P205" s="152"/>
      <c r="Q205" s="152"/>
      <c r="R205" s="152"/>
      <c r="S205" s="152"/>
      <c r="T205" s="152"/>
      <c r="U205" s="152"/>
      <c r="V205" s="152"/>
      <c r="W205" s="152"/>
      <c r="X205" s="152"/>
      <c r="Y205" s="152"/>
      <c r="Z205" s="152"/>
      <c r="AA205" s="152"/>
      <c r="AB205" s="152"/>
      <c r="AC205" s="152"/>
      <c r="AD205" s="152"/>
      <c r="AE205" s="152"/>
      <c r="AF205" s="152"/>
      <c r="AG205" s="152"/>
      <c r="AH205" s="152"/>
    </row>
    <row r="206" spans="1:34" x14ac:dyDescent="0.25">
      <c r="A206" s="94" t="s">
        <v>24</v>
      </c>
      <c r="B206" s="45" t="s">
        <v>57</v>
      </c>
      <c r="C206" s="45" t="s">
        <v>104</v>
      </c>
      <c r="D206" s="75" t="s">
        <v>92</v>
      </c>
      <c r="E206" s="75" t="s">
        <v>254</v>
      </c>
      <c r="F206" s="45" t="s">
        <v>128</v>
      </c>
      <c r="G206" s="45" t="s">
        <v>47</v>
      </c>
      <c r="H206" s="45" t="s">
        <v>225</v>
      </c>
      <c r="I206" s="45" t="s">
        <v>326</v>
      </c>
      <c r="J206" s="78">
        <v>44027</v>
      </c>
      <c r="K206" s="78">
        <v>44210</v>
      </c>
      <c r="L206" s="45">
        <v>3</v>
      </c>
      <c r="M206" s="99">
        <f t="shared" si="15"/>
        <v>47</v>
      </c>
      <c r="N206" s="99">
        <f>Tabla3[[#This Row],[NUMBER OF DAYS]]*Tabla3[[#This Row],[MAX. UNIT COST PER DAY]]</f>
        <v>141</v>
      </c>
      <c r="O206" s="162"/>
      <c r="P206" s="152"/>
      <c r="Q206" s="152"/>
      <c r="R206" s="152"/>
      <c r="S206" s="152"/>
      <c r="T206" s="152"/>
      <c r="U206" s="152"/>
      <c r="V206" s="152"/>
      <c r="W206" s="152"/>
      <c r="X206" s="152"/>
      <c r="Y206" s="152"/>
      <c r="Z206" s="152"/>
      <c r="AA206" s="152"/>
      <c r="AB206" s="152"/>
      <c r="AC206" s="152"/>
      <c r="AD206" s="152"/>
      <c r="AE206" s="152"/>
      <c r="AF206" s="152"/>
      <c r="AG206" s="152"/>
      <c r="AH206" s="152"/>
    </row>
    <row r="207" spans="1:34" x14ac:dyDescent="0.25">
      <c r="A207" s="193" t="s">
        <v>24</v>
      </c>
      <c r="B207" s="45" t="s">
        <v>57</v>
      </c>
      <c r="C207" s="45" t="s">
        <v>104</v>
      </c>
      <c r="D207" s="75" t="s">
        <v>92</v>
      </c>
      <c r="E207" s="75" t="s">
        <v>547</v>
      </c>
      <c r="F207" s="45" t="s">
        <v>128</v>
      </c>
      <c r="G207" s="45" t="s">
        <v>47</v>
      </c>
      <c r="H207" s="45" t="s">
        <v>225</v>
      </c>
      <c r="I207" s="179" t="s">
        <v>602</v>
      </c>
      <c r="J207" s="196">
        <v>44211</v>
      </c>
      <c r="K207" s="196">
        <v>44391</v>
      </c>
      <c r="L207" s="192">
        <v>5</v>
      </c>
      <c r="M207" s="198">
        <f>IF(AND(G207="Manager",D207="Spain"),164,IF(AND(G207="Teacher/Trainer/Researcher",D207="Spain"),137,IF(AND(G207="Technical Staff",D207="Spain"),164,IF(AND(G207="Administrative staff",D207="Spain"),164,IF(AND(G207="Manager",D207="Slovenia"),164,IF(AND(G207="Teacher/Trainer/Researcher",D207="Slovenia"),137,IF(AND(G207="Technical Staff",D207="Slovenia"),102,IF(AND(G207="Administrative staff",D207="Slovenia"),78,IF(AND(G207="Manager",D207="Italy"),280,IF(AND(G207="Teacher/Trainer/Researcher",D207="Italy"),214,IF(AND(G207="Technical Staff",D207="Italy"),162,IF(AND(G207="Administrative staff",D207="Italy"),131,IF(AND(G207="Manager",D207="Kazakstan"),77,IF(AND(G207="Teacher/Trainer/Researcher",D207="Kazakstan"),57,IF(AND(G207="Technical Staff",D207="Kazakstan"),40,IF(AND(G207="Administrative staff",D207="Kazakstan"),32,IF(AND(G207="Manager",D207="Turkmenistan"),47,IF(AND(G207="Teacher/Trainer/Researcher",D207="Turkmenistan"),33,IF(AND(G207="Technical Staff",D207="Turkmenistan"),22,IF(AND(G207="Administrative staff",D207="Turkmenistan"),17,IF(AND(G207="Manager",D207="Tajikistan"),47,IF(AND(G207="Teacher/Trainer/Researcher",D207="Tajikistan"),33,IF(AND(G207="Technical Staff",D207="Tajikistan"),22,IF(AND(G207="Administrative staff",D207="Tajikistan"),17,))))))))))))))))))))))))</f>
        <v>47</v>
      </c>
      <c r="N207" s="198">
        <f>Tabla3[[#This Row],[NUMBER OF DAYS]]*Tabla3[[#This Row],[MAX. UNIT COST PER DAY]]</f>
        <v>235</v>
      </c>
      <c r="O207" s="162"/>
      <c r="P207" s="188"/>
      <c r="Q207" s="188"/>
      <c r="R207" s="188"/>
      <c r="S207" s="188"/>
      <c r="T207" s="188"/>
      <c r="U207" s="188"/>
      <c r="V207" s="188"/>
      <c r="W207" s="188"/>
      <c r="X207" s="188"/>
      <c r="Y207" s="188"/>
      <c r="Z207" s="188"/>
      <c r="AA207" s="188"/>
      <c r="AB207" s="188"/>
      <c r="AC207" s="188"/>
      <c r="AD207" s="188"/>
      <c r="AE207" s="188"/>
      <c r="AF207" s="188"/>
      <c r="AG207" s="188"/>
      <c r="AH207" s="188"/>
    </row>
    <row r="208" spans="1:34" x14ac:dyDescent="0.25">
      <c r="A208" s="193" t="s">
        <v>74</v>
      </c>
      <c r="B208" s="45" t="s">
        <v>57</v>
      </c>
      <c r="C208" s="45" t="s">
        <v>104</v>
      </c>
      <c r="D208" s="75" t="s">
        <v>92</v>
      </c>
      <c r="E208" s="75" t="s">
        <v>547</v>
      </c>
      <c r="F208" s="45" t="s">
        <v>128</v>
      </c>
      <c r="G208" s="45" t="s">
        <v>47</v>
      </c>
      <c r="H208" s="45" t="s">
        <v>210</v>
      </c>
      <c r="I208" s="179" t="s">
        <v>601</v>
      </c>
      <c r="J208" s="196">
        <v>44211</v>
      </c>
      <c r="K208" s="196">
        <v>44391</v>
      </c>
      <c r="L208" s="192">
        <v>7</v>
      </c>
      <c r="M208" s="198">
        <f t="shared" ref="M208:M215" si="16">IF(AND(G208="Manager",D208="Spain"),164,IF(AND(G208="Teacher/Trainer/Researcher",D208="Spain"),137,IF(AND(G208="Technical Staff",D208="Spain"),164,IF(AND(G208="Administrative staff",D208="Spain"),164,IF(AND(G208="Manager",D208="Slovenia"),164,IF(AND(G208="Teacher/Trainer/Researcher",D208="Slovenia"),137,IF(AND(G208="Technical Staff",D208="Slovenia"),102,IF(AND(G208="Administrative staff",D208="Slovenia"),78,IF(AND(G208="Manager",D208="Italy"),280,IF(AND(G208="Teacher/Trainer/Researcher",D208="Italy"),214,IF(AND(G208="Technical Staff",D208="Italy"),162,IF(AND(G208="Administrative staff",D208="Italy"),131,IF(AND(G208="Manager",D208="Kazakstan"),77,IF(AND(G208="Teacher/Trainer/Researcher",D208="Kazakstan"),57,IF(AND(G208="Technical Staff",D208="Kazakstan"),40,IF(AND(G208="Administrative staff",D208="Kazakstan"),32,IF(AND(G208="Manager",D208="Turkmenistan"),47,IF(AND(G208="Teacher/Trainer/Researcher",D208="Turkmenistan"),33,IF(AND(G208="Technical Staff",D208="Turkmenistan"),22,IF(AND(G208="Administrative staff",D208="Turkmenistan"),17,IF(AND(G208="Manager",D208="Tajikistan"),47,IF(AND(G208="Teacher/Trainer/Researcher",D208="Tajikistan"),33,IF(AND(G208="Technical Staff",D208="Tajikistan"),22,IF(AND(G208="Administrative staff",D208="Tajikistan"),17,))))))))))))))))))))))))</f>
        <v>47</v>
      </c>
      <c r="N208" s="198">
        <f>Tabla3[[#This Row],[NUMBER OF DAYS]]*Tabla3[[#This Row],[MAX. UNIT COST PER DAY]]</f>
        <v>329</v>
      </c>
      <c r="O208" s="162"/>
      <c r="P208" s="188"/>
      <c r="Q208" s="188"/>
      <c r="R208" s="188"/>
      <c r="S208" s="188"/>
      <c r="T208" s="188"/>
      <c r="U208" s="188"/>
      <c r="V208" s="188"/>
      <c r="W208" s="188"/>
      <c r="X208" s="188"/>
      <c r="Y208" s="188"/>
      <c r="Z208" s="188"/>
      <c r="AA208" s="188"/>
      <c r="AB208" s="188"/>
      <c r="AC208" s="188"/>
      <c r="AD208" s="188"/>
      <c r="AE208" s="188"/>
      <c r="AF208" s="188"/>
      <c r="AG208" s="188"/>
      <c r="AH208" s="188"/>
    </row>
    <row r="209" spans="1:34" s="96" customFormat="1" x14ac:dyDescent="0.25">
      <c r="A209" s="212" t="s">
        <v>24</v>
      </c>
      <c r="B209" s="96" t="s">
        <v>57</v>
      </c>
      <c r="C209" s="96" t="s">
        <v>104</v>
      </c>
      <c r="D209" s="213" t="s">
        <v>92</v>
      </c>
      <c r="E209" s="213" t="s">
        <v>650</v>
      </c>
      <c r="F209" s="96" t="s">
        <v>128</v>
      </c>
      <c r="G209" s="96" t="s">
        <v>47</v>
      </c>
      <c r="H209" s="96" t="s">
        <v>225</v>
      </c>
      <c r="I209" s="96" t="s">
        <v>695</v>
      </c>
      <c r="J209" s="214">
        <v>44392</v>
      </c>
      <c r="K209" s="214">
        <v>44561</v>
      </c>
      <c r="L209" s="96">
        <v>15</v>
      </c>
      <c r="M209" s="198">
        <f t="shared" si="16"/>
        <v>47</v>
      </c>
      <c r="N209" s="198">
        <f>Tabla3[[#This Row],[NUMBER OF DAYS]]*Tabla3[[#This Row],[MAX. UNIT COST PER DAY]]</f>
        <v>705</v>
      </c>
      <c r="O209" s="215"/>
      <c r="P209" s="126"/>
      <c r="Q209" s="126"/>
      <c r="R209" s="126"/>
      <c r="S209" s="126"/>
      <c r="T209" s="126"/>
      <c r="U209" s="126"/>
      <c r="V209" s="126"/>
      <c r="W209" s="126"/>
      <c r="X209" s="126"/>
      <c r="Y209" s="126"/>
      <c r="Z209" s="126"/>
      <c r="AA209" s="126"/>
      <c r="AB209" s="126"/>
      <c r="AC209" s="126"/>
      <c r="AD209" s="126"/>
      <c r="AE209" s="126"/>
      <c r="AF209" s="126"/>
      <c r="AG209" s="126"/>
      <c r="AH209" s="126"/>
    </row>
    <row r="210" spans="1:34" x14ac:dyDescent="0.25">
      <c r="A210" s="94" t="s">
        <v>73</v>
      </c>
      <c r="B210" s="96" t="s">
        <v>57</v>
      </c>
      <c r="C210" s="96" t="s">
        <v>104</v>
      </c>
      <c r="D210" s="213" t="s">
        <v>92</v>
      </c>
      <c r="E210" s="213" t="s">
        <v>650</v>
      </c>
      <c r="F210" s="96" t="s">
        <v>128</v>
      </c>
      <c r="G210" s="96" t="s">
        <v>47</v>
      </c>
      <c r="H210" s="45" t="s">
        <v>213</v>
      </c>
      <c r="I210" s="45" t="s">
        <v>696</v>
      </c>
      <c r="J210" s="214">
        <v>44392</v>
      </c>
      <c r="K210" s="214">
        <v>44561</v>
      </c>
      <c r="L210" s="45">
        <v>10</v>
      </c>
      <c r="M210" s="198">
        <f t="shared" si="16"/>
        <v>47</v>
      </c>
      <c r="N210" s="198">
        <f>Tabla3[[#This Row],[NUMBER OF DAYS]]*Tabla3[[#This Row],[MAX. UNIT COST PER DAY]]</f>
        <v>470</v>
      </c>
      <c r="O210" s="162"/>
      <c r="P210" s="188"/>
      <c r="Q210" s="188"/>
      <c r="R210" s="188"/>
      <c r="S210" s="188"/>
      <c r="T210" s="188"/>
      <c r="U210" s="188"/>
      <c r="V210" s="188"/>
      <c r="W210" s="188"/>
      <c r="X210" s="188"/>
      <c r="Y210" s="188"/>
      <c r="Z210" s="188"/>
      <c r="AA210" s="188"/>
      <c r="AB210" s="188"/>
      <c r="AC210" s="188"/>
      <c r="AD210" s="188"/>
      <c r="AE210" s="188"/>
      <c r="AF210" s="188"/>
      <c r="AG210" s="188"/>
      <c r="AH210" s="188"/>
    </row>
    <row r="211" spans="1:34" x14ac:dyDescent="0.25">
      <c r="A211" s="94" t="s">
        <v>74</v>
      </c>
      <c r="B211" s="96" t="s">
        <v>57</v>
      </c>
      <c r="C211" s="96" t="s">
        <v>104</v>
      </c>
      <c r="D211" s="213" t="s">
        <v>92</v>
      </c>
      <c r="E211" s="213" t="s">
        <v>650</v>
      </c>
      <c r="F211" s="96" t="s">
        <v>128</v>
      </c>
      <c r="G211" s="96" t="s">
        <v>47</v>
      </c>
      <c r="H211" s="45" t="s">
        <v>210</v>
      </c>
      <c r="I211" s="45" t="s">
        <v>697</v>
      </c>
      <c r="J211" s="214">
        <v>44392</v>
      </c>
      <c r="K211" s="214">
        <v>44561</v>
      </c>
      <c r="L211" s="45">
        <v>3</v>
      </c>
      <c r="M211" s="198">
        <f t="shared" si="16"/>
        <v>47</v>
      </c>
      <c r="N211" s="198">
        <f>Tabla3[[#This Row],[NUMBER OF DAYS]]*Tabla3[[#This Row],[MAX. UNIT COST PER DAY]]</f>
        <v>141</v>
      </c>
      <c r="O211" s="162"/>
      <c r="P211" s="188"/>
      <c r="Q211" s="188"/>
      <c r="R211" s="188"/>
      <c r="S211" s="188"/>
      <c r="T211" s="188"/>
      <c r="U211" s="188"/>
      <c r="V211" s="188"/>
      <c r="W211" s="188"/>
      <c r="X211" s="188"/>
      <c r="Y211" s="188"/>
      <c r="Z211" s="188"/>
      <c r="AA211" s="188"/>
      <c r="AB211" s="188"/>
      <c r="AC211" s="188"/>
      <c r="AD211" s="188"/>
      <c r="AE211" s="188"/>
      <c r="AF211" s="188"/>
      <c r="AG211" s="188"/>
      <c r="AH211" s="188"/>
    </row>
    <row r="212" spans="1:34" x14ac:dyDescent="0.25">
      <c r="A212" s="94" t="s">
        <v>72</v>
      </c>
      <c r="B212" s="96" t="s">
        <v>57</v>
      </c>
      <c r="C212" s="96" t="s">
        <v>104</v>
      </c>
      <c r="D212" s="213" t="s">
        <v>92</v>
      </c>
      <c r="E212" s="213" t="s">
        <v>650</v>
      </c>
      <c r="F212" s="96" t="s">
        <v>128</v>
      </c>
      <c r="G212" s="96" t="s">
        <v>47</v>
      </c>
      <c r="H212" s="45" t="s">
        <v>212</v>
      </c>
      <c r="I212" s="45" t="s">
        <v>698</v>
      </c>
      <c r="J212" s="214">
        <v>44392</v>
      </c>
      <c r="K212" s="214">
        <v>44561</v>
      </c>
      <c r="L212" s="45">
        <v>2</v>
      </c>
      <c r="M212" s="198">
        <f t="shared" si="16"/>
        <v>47</v>
      </c>
      <c r="N212" s="198">
        <f>Tabla3[[#This Row],[NUMBER OF DAYS]]*Tabla3[[#This Row],[MAX. UNIT COST PER DAY]]</f>
        <v>94</v>
      </c>
      <c r="O212" s="162"/>
      <c r="P212" s="188"/>
      <c r="Q212" s="188"/>
      <c r="R212" s="188"/>
      <c r="S212" s="188"/>
      <c r="T212" s="188"/>
      <c r="U212" s="188"/>
      <c r="V212" s="188"/>
      <c r="W212" s="188"/>
      <c r="X212" s="188"/>
      <c r="Y212" s="188"/>
      <c r="Z212" s="188"/>
      <c r="AA212" s="188"/>
      <c r="AB212" s="188"/>
      <c r="AC212" s="188"/>
      <c r="AD212" s="188"/>
      <c r="AE212" s="188"/>
      <c r="AF212" s="188"/>
      <c r="AG212" s="188"/>
      <c r="AH212" s="188"/>
    </row>
    <row r="213" spans="1:34" x14ac:dyDescent="0.25">
      <c r="A213" s="94" t="s">
        <v>24</v>
      </c>
      <c r="B213" s="45" t="s">
        <v>57</v>
      </c>
      <c r="C213" s="45" t="s">
        <v>104</v>
      </c>
      <c r="D213" s="75" t="s">
        <v>92</v>
      </c>
      <c r="E213" s="75" t="s">
        <v>694</v>
      </c>
      <c r="F213" s="45" t="s">
        <v>693</v>
      </c>
      <c r="G213" s="45" t="s">
        <v>229</v>
      </c>
      <c r="H213" s="45" t="s">
        <v>225</v>
      </c>
      <c r="I213" s="45" t="s">
        <v>690</v>
      </c>
      <c r="J213" s="214">
        <v>44392</v>
      </c>
      <c r="K213" s="214">
        <v>44561</v>
      </c>
      <c r="L213" s="45">
        <v>6</v>
      </c>
      <c r="M213" s="198">
        <f t="shared" si="16"/>
        <v>17</v>
      </c>
      <c r="N213" s="198">
        <f>Tabla3[[#This Row],[NUMBER OF DAYS]]*Tabla3[[#This Row],[MAX. UNIT COST PER DAY]]</f>
        <v>102</v>
      </c>
      <c r="O213" s="162"/>
      <c r="P213" s="188"/>
      <c r="Q213" s="188"/>
      <c r="R213" s="188"/>
      <c r="S213" s="188"/>
      <c r="T213" s="188"/>
      <c r="U213" s="188"/>
      <c r="V213" s="188"/>
      <c r="W213" s="188"/>
      <c r="X213" s="188"/>
      <c r="Y213" s="188"/>
      <c r="Z213" s="188"/>
      <c r="AA213" s="188"/>
      <c r="AB213" s="188"/>
      <c r="AC213" s="188"/>
      <c r="AD213" s="188"/>
      <c r="AE213" s="188"/>
      <c r="AF213" s="188"/>
      <c r="AG213" s="188"/>
      <c r="AH213" s="188"/>
    </row>
    <row r="214" spans="1:34" x14ac:dyDescent="0.25">
      <c r="A214" s="94" t="s">
        <v>73</v>
      </c>
      <c r="B214" s="45" t="s">
        <v>57</v>
      </c>
      <c r="C214" s="45" t="s">
        <v>104</v>
      </c>
      <c r="D214" s="75" t="s">
        <v>92</v>
      </c>
      <c r="E214" s="75" t="s">
        <v>694</v>
      </c>
      <c r="F214" s="45" t="s">
        <v>693</v>
      </c>
      <c r="G214" s="45" t="s">
        <v>229</v>
      </c>
      <c r="H214" s="45" t="s">
        <v>213</v>
      </c>
      <c r="I214" s="45" t="s">
        <v>691</v>
      </c>
      <c r="J214" s="214">
        <v>44392</v>
      </c>
      <c r="K214" s="214">
        <v>44561</v>
      </c>
      <c r="L214" s="45">
        <v>6</v>
      </c>
      <c r="M214" s="198">
        <f t="shared" si="16"/>
        <v>17</v>
      </c>
      <c r="N214" s="198">
        <f>Tabla3[[#This Row],[NUMBER OF DAYS]]*Tabla3[[#This Row],[MAX. UNIT COST PER DAY]]</f>
        <v>102</v>
      </c>
      <c r="O214" s="162"/>
      <c r="P214" s="188"/>
      <c r="Q214" s="188"/>
      <c r="R214" s="188"/>
      <c r="S214" s="188"/>
      <c r="T214" s="188"/>
      <c r="U214" s="188"/>
      <c r="V214" s="188"/>
      <c r="W214" s="188"/>
      <c r="X214" s="188"/>
      <c r="Y214" s="188"/>
      <c r="Z214" s="188"/>
      <c r="AA214" s="188"/>
      <c r="AB214" s="188"/>
      <c r="AC214" s="188"/>
      <c r="AD214" s="188"/>
      <c r="AE214" s="188"/>
      <c r="AF214" s="188"/>
      <c r="AG214" s="188"/>
      <c r="AH214" s="188"/>
    </row>
    <row r="215" spans="1:34" x14ac:dyDescent="0.25">
      <c r="A215" s="94" t="s">
        <v>74</v>
      </c>
      <c r="B215" s="45" t="s">
        <v>57</v>
      </c>
      <c r="C215" s="45" t="s">
        <v>104</v>
      </c>
      <c r="D215" s="75" t="s">
        <v>92</v>
      </c>
      <c r="E215" s="75" t="s">
        <v>694</v>
      </c>
      <c r="F215" s="45" t="s">
        <v>693</v>
      </c>
      <c r="G215" s="45" t="s">
        <v>229</v>
      </c>
      <c r="H215" s="45" t="s">
        <v>210</v>
      </c>
      <c r="I215" s="45" t="s">
        <v>692</v>
      </c>
      <c r="J215" s="214">
        <v>44392</v>
      </c>
      <c r="K215" s="214">
        <v>44561</v>
      </c>
      <c r="L215" s="45">
        <v>4</v>
      </c>
      <c r="M215" s="198">
        <f t="shared" si="16"/>
        <v>17</v>
      </c>
      <c r="N215" s="198">
        <f>Tabla3[[#This Row],[NUMBER OF DAYS]]*Tabla3[[#This Row],[MAX. UNIT COST PER DAY]]</f>
        <v>68</v>
      </c>
      <c r="O215" s="162"/>
      <c r="P215" s="188"/>
      <c r="Q215" s="188"/>
      <c r="R215" s="188"/>
      <c r="S215" s="188"/>
      <c r="T215" s="188"/>
      <c r="U215" s="188"/>
      <c r="V215" s="188"/>
      <c r="W215" s="188"/>
      <c r="X215" s="188"/>
      <c r="Y215" s="188"/>
      <c r="Z215" s="188"/>
      <c r="AA215" s="188"/>
      <c r="AB215" s="188"/>
      <c r="AC215" s="188"/>
      <c r="AD215" s="188"/>
      <c r="AE215" s="188"/>
      <c r="AF215" s="188"/>
      <c r="AG215" s="188"/>
      <c r="AH215" s="188"/>
    </row>
    <row r="216" spans="1:34" x14ac:dyDescent="0.25">
      <c r="A216" s="89"/>
      <c r="B216" s="66"/>
      <c r="C216" s="66"/>
      <c r="D216" s="69"/>
      <c r="E216" s="91"/>
      <c r="F216" s="89"/>
      <c r="G216" s="89"/>
      <c r="H216" s="89"/>
      <c r="I216" s="89"/>
      <c r="J216" s="91"/>
      <c r="K216" s="91"/>
      <c r="L216" s="89"/>
      <c r="M216" s="89"/>
      <c r="N216" s="102">
        <f>Tabla3[[#This Row],[NUMBER OF DAYS]]*Tabla3[[#This Row],[MAX. UNIT COST PER DAY]]</f>
        <v>0</v>
      </c>
    </row>
    <row r="217" spans="1:34" x14ac:dyDescent="0.25">
      <c r="A217" s="45" t="s">
        <v>23</v>
      </c>
      <c r="B217" s="45" t="s">
        <v>58</v>
      </c>
      <c r="C217" s="45" t="s">
        <v>105</v>
      </c>
      <c r="D217" s="75" t="s">
        <v>92</v>
      </c>
      <c r="E217" s="75" t="s">
        <v>237</v>
      </c>
      <c r="F217" s="45" t="s">
        <v>239</v>
      </c>
      <c r="G217" s="45" t="s">
        <v>47</v>
      </c>
      <c r="H217" s="45" t="s">
        <v>211</v>
      </c>
      <c r="I217" s="45" t="s">
        <v>240</v>
      </c>
      <c r="J217" s="78">
        <v>43845</v>
      </c>
      <c r="K217" s="78">
        <v>44026</v>
      </c>
      <c r="L217" s="45">
        <v>3</v>
      </c>
      <c r="M217" s="99">
        <f t="shared" ref="M217:M228" si="17">IF(AND(G217="Manager",D217="Spain"),164,IF(AND(G217="Teacher/Trainer/Researcher",D217="Spain"),137,IF(AND(G217="Technical Staff",D217="Spain"),102,IF(AND(G217="Administrative staff",D217="Spain"),78,IF(AND(G217="Manager",D217="Slovenia"),164,IF(AND(G217="Teacher/Trainer/Researcher",D217="Slovenia"),137,IF(AND(G217="Technical Staff",D217="Slovenia"),102,IF(AND(G217="Administrative staff",D217="Slovenia"),78,IF(AND(G217="Manager",D217="Italy"),280,IF(AND(G217="Teacher/Trainer/Researcher",D217="Italy"),214,IF(AND(G217="Technical Staff",D217="Italy"),162,IF(AND(G217="Administrative staff",D217="Italy"),131,IF(AND(G217="Manager",D217="Kazakhstan"),77,IF(AND(G217="Teacher/Trainer/Researcher",D217="Kazakhstan"),57,IF(AND(G217="Technical Staff",D217="Kazakhstan"),40,IF(AND(G217="Administrative staff",D217="Kazakhstan"),32,IF(AND(G217="Manager",D217="Turkmenistan"),47,IF(AND(G217="Teacher/Trainer/Researcher",D217="Turkmenistan"),33,IF(AND(G217="Technical Staff",D217="Turkmenistan"),22,IF(AND(G217="Administrative staff",D217="Turkmenistan"),17,IF(AND(G217="Manager",D217="Tajikistan"),47,IF(AND(G217="Teacher/Trainer/Researcher",D217="Tajikistan"),33,IF(AND(G217="Technical Staff",D217="Tajikistan"),22,IF(AND(G217="Administrative staff",D217="Tajikistan"),17,))))))))))))))))))))))))</f>
        <v>47</v>
      </c>
      <c r="N217" s="99">
        <f>Tabla3[[#This Row],[NUMBER OF DAYS]]*Tabla3[[#This Row],[MAX. UNIT COST PER DAY]]</f>
        <v>141</v>
      </c>
    </row>
    <row r="218" spans="1:34" x14ac:dyDescent="0.25">
      <c r="A218" s="147" t="s">
        <v>74</v>
      </c>
      <c r="B218" s="45" t="s">
        <v>58</v>
      </c>
      <c r="C218" s="45" t="s">
        <v>105</v>
      </c>
      <c r="D218" s="75" t="s">
        <v>92</v>
      </c>
      <c r="E218" s="75" t="s">
        <v>237</v>
      </c>
      <c r="F218" s="45" t="s">
        <v>239</v>
      </c>
      <c r="G218" s="45" t="s">
        <v>47</v>
      </c>
      <c r="H218" s="45" t="s">
        <v>210</v>
      </c>
      <c r="I218" s="148" t="s">
        <v>241</v>
      </c>
      <c r="J218" s="78">
        <v>43845</v>
      </c>
      <c r="K218" s="78">
        <v>44026</v>
      </c>
      <c r="L218" s="148">
        <v>9</v>
      </c>
      <c r="M218" s="99">
        <f t="shared" si="17"/>
        <v>47</v>
      </c>
      <c r="N218" s="150">
        <f>Tabla3[[#This Row],[NUMBER OF DAYS]]*Tabla3[[#This Row],[MAX. UNIT COST PER DAY]]</f>
        <v>423</v>
      </c>
      <c r="O218" s="146"/>
      <c r="P218" s="146"/>
      <c r="Q218" s="146"/>
      <c r="R218" s="146"/>
      <c r="S218" s="146"/>
      <c r="T218" s="146"/>
      <c r="U218" s="146"/>
      <c r="V218" s="146"/>
      <c r="W218" s="146"/>
      <c r="X218" s="146"/>
      <c r="Y218" s="146"/>
      <c r="Z218" s="146"/>
      <c r="AA218" s="146"/>
      <c r="AB218" s="146"/>
      <c r="AC218" s="146"/>
      <c r="AD218" s="146"/>
      <c r="AE218" s="146"/>
      <c r="AF218" s="146"/>
      <c r="AG218" s="146"/>
      <c r="AH218" s="146"/>
    </row>
    <row r="219" spans="1:34" x14ac:dyDescent="0.25">
      <c r="A219" s="147" t="s">
        <v>74</v>
      </c>
      <c r="B219" s="45" t="s">
        <v>58</v>
      </c>
      <c r="C219" s="45" t="s">
        <v>105</v>
      </c>
      <c r="D219" s="75" t="s">
        <v>92</v>
      </c>
      <c r="E219" s="149" t="s">
        <v>238</v>
      </c>
      <c r="F219" s="148" t="s">
        <v>242</v>
      </c>
      <c r="G219" s="148" t="s">
        <v>229</v>
      </c>
      <c r="H219" s="45" t="s">
        <v>210</v>
      </c>
      <c r="I219" s="148" t="s">
        <v>243</v>
      </c>
      <c r="J219" s="78">
        <v>43845</v>
      </c>
      <c r="K219" s="78">
        <v>44026</v>
      </c>
      <c r="L219" s="148">
        <v>8</v>
      </c>
      <c r="M219" s="99">
        <f t="shared" si="17"/>
        <v>17</v>
      </c>
      <c r="N219" s="150">
        <f>Tabla3[[#This Row],[NUMBER OF DAYS]]*Tabla3[[#This Row],[MAX. UNIT COST PER DAY]]</f>
        <v>136</v>
      </c>
      <c r="O219" s="146"/>
      <c r="P219" s="146"/>
      <c r="Q219" s="146"/>
      <c r="R219" s="146"/>
      <c r="S219" s="146"/>
      <c r="T219" s="146"/>
      <c r="U219" s="146"/>
      <c r="V219" s="146"/>
      <c r="W219" s="146"/>
      <c r="X219" s="146"/>
      <c r="Y219" s="146"/>
      <c r="Z219" s="146"/>
      <c r="AA219" s="146"/>
      <c r="AB219" s="146"/>
      <c r="AC219" s="146"/>
      <c r="AD219" s="146"/>
      <c r="AE219" s="146"/>
      <c r="AF219" s="146"/>
      <c r="AG219" s="146"/>
      <c r="AH219" s="146"/>
    </row>
    <row r="220" spans="1:34" x14ac:dyDescent="0.25">
      <c r="A220" s="147" t="s">
        <v>73</v>
      </c>
      <c r="B220" s="45" t="s">
        <v>58</v>
      </c>
      <c r="C220" s="45" t="s">
        <v>105</v>
      </c>
      <c r="D220" s="75" t="s">
        <v>92</v>
      </c>
      <c r="E220" s="149" t="s">
        <v>238</v>
      </c>
      <c r="F220" s="148" t="s">
        <v>242</v>
      </c>
      <c r="G220" s="148" t="s">
        <v>229</v>
      </c>
      <c r="H220" s="45" t="s">
        <v>213</v>
      </c>
      <c r="I220" s="148" t="s">
        <v>244</v>
      </c>
      <c r="J220" s="78">
        <v>43845</v>
      </c>
      <c r="K220" s="78">
        <v>44026</v>
      </c>
      <c r="L220" s="148">
        <v>2</v>
      </c>
      <c r="M220" s="99">
        <f t="shared" si="17"/>
        <v>17</v>
      </c>
      <c r="N220" s="150">
        <f>Tabla3[[#This Row],[NUMBER OF DAYS]]*Tabla3[[#This Row],[MAX. UNIT COST PER DAY]]</f>
        <v>34</v>
      </c>
      <c r="O220" s="146"/>
      <c r="P220" s="146"/>
      <c r="Q220" s="146"/>
      <c r="R220" s="146"/>
      <c r="S220" s="146"/>
      <c r="T220" s="146"/>
      <c r="U220" s="146"/>
      <c r="V220" s="146"/>
      <c r="W220" s="146"/>
      <c r="X220" s="146"/>
      <c r="Y220" s="146"/>
      <c r="Z220" s="146"/>
      <c r="AA220" s="146"/>
      <c r="AB220" s="146"/>
      <c r="AC220" s="146"/>
      <c r="AD220" s="146"/>
      <c r="AE220" s="146"/>
      <c r="AF220" s="146"/>
      <c r="AG220" s="146"/>
      <c r="AH220" s="146"/>
    </row>
    <row r="221" spans="1:34" x14ac:dyDescent="0.25">
      <c r="A221" s="94" t="s">
        <v>74</v>
      </c>
      <c r="B221" s="45" t="s">
        <v>58</v>
      </c>
      <c r="C221" s="45" t="s">
        <v>105</v>
      </c>
      <c r="D221" s="75" t="s">
        <v>92</v>
      </c>
      <c r="E221" s="149" t="s">
        <v>318</v>
      </c>
      <c r="F221" s="45" t="s">
        <v>239</v>
      </c>
      <c r="G221" s="45" t="s">
        <v>47</v>
      </c>
      <c r="H221" s="45" t="s">
        <v>210</v>
      </c>
      <c r="I221" s="45" t="s">
        <v>315</v>
      </c>
      <c r="J221" s="78">
        <v>44027</v>
      </c>
      <c r="K221" s="78">
        <v>44210</v>
      </c>
      <c r="L221" s="45">
        <v>8</v>
      </c>
      <c r="M221" s="99">
        <f t="shared" si="17"/>
        <v>47</v>
      </c>
      <c r="N221" s="99">
        <f>Tabla3[[#This Row],[NUMBER OF DAYS]]*Tabla3[[#This Row],[MAX. UNIT COST PER DAY]]</f>
        <v>376</v>
      </c>
      <c r="O221" s="162"/>
      <c r="P221" s="152"/>
      <c r="Q221" s="152"/>
      <c r="R221" s="152"/>
      <c r="S221" s="152"/>
      <c r="T221" s="152"/>
      <c r="U221" s="152"/>
      <c r="V221" s="152"/>
      <c r="W221" s="152"/>
      <c r="X221" s="152"/>
      <c r="Y221" s="152"/>
      <c r="Z221" s="152"/>
      <c r="AA221" s="152"/>
      <c r="AB221" s="152"/>
      <c r="AC221" s="152"/>
      <c r="AD221" s="152"/>
      <c r="AE221" s="152"/>
      <c r="AF221" s="152"/>
      <c r="AG221" s="152"/>
      <c r="AH221" s="152"/>
    </row>
    <row r="222" spans="1:34" x14ac:dyDescent="0.25">
      <c r="A222" s="94" t="s">
        <v>73</v>
      </c>
      <c r="B222" s="45" t="s">
        <v>58</v>
      </c>
      <c r="C222" s="45" t="s">
        <v>105</v>
      </c>
      <c r="D222" s="75" t="s">
        <v>92</v>
      </c>
      <c r="E222" s="149" t="s">
        <v>318</v>
      </c>
      <c r="F222" s="45" t="s">
        <v>239</v>
      </c>
      <c r="G222" s="45" t="s">
        <v>47</v>
      </c>
      <c r="H222" s="45" t="s">
        <v>213</v>
      </c>
      <c r="I222" s="45" t="s">
        <v>316</v>
      </c>
      <c r="J222" s="78">
        <v>44027</v>
      </c>
      <c r="K222" s="78">
        <v>44210</v>
      </c>
      <c r="L222" s="45">
        <v>4</v>
      </c>
      <c r="M222" s="99">
        <f t="shared" si="17"/>
        <v>47</v>
      </c>
      <c r="N222" s="99">
        <f>Tabla3[[#This Row],[NUMBER OF DAYS]]*Tabla3[[#This Row],[MAX. UNIT COST PER DAY]]</f>
        <v>188</v>
      </c>
      <c r="O222" s="162"/>
      <c r="P222" s="152"/>
      <c r="Q222" s="152"/>
      <c r="R222" s="152"/>
      <c r="S222" s="152"/>
      <c r="T222" s="152"/>
      <c r="U222" s="152"/>
      <c r="V222" s="152"/>
      <c r="W222" s="152"/>
      <c r="X222" s="152"/>
      <c r="Y222" s="152"/>
      <c r="Z222" s="152"/>
      <c r="AA222" s="152"/>
      <c r="AB222" s="152"/>
      <c r="AC222" s="152"/>
      <c r="AD222" s="152"/>
      <c r="AE222" s="152"/>
      <c r="AF222" s="152"/>
      <c r="AG222" s="152"/>
      <c r="AH222" s="152"/>
    </row>
    <row r="223" spans="1:34" x14ac:dyDescent="0.25">
      <c r="A223" s="94" t="s">
        <v>23</v>
      </c>
      <c r="B223" s="45" t="s">
        <v>58</v>
      </c>
      <c r="C223" s="45" t="s">
        <v>105</v>
      </c>
      <c r="D223" s="75" t="s">
        <v>92</v>
      </c>
      <c r="E223" s="149" t="s">
        <v>318</v>
      </c>
      <c r="F223" s="45" t="s">
        <v>239</v>
      </c>
      <c r="G223" s="45" t="s">
        <v>47</v>
      </c>
      <c r="H223" s="45" t="s">
        <v>211</v>
      </c>
      <c r="I223" s="45" t="s">
        <v>317</v>
      </c>
      <c r="J223" s="78">
        <v>44027</v>
      </c>
      <c r="K223" s="78">
        <v>44210</v>
      </c>
      <c r="L223" s="45">
        <v>1</v>
      </c>
      <c r="M223" s="99">
        <f t="shared" si="17"/>
        <v>47</v>
      </c>
      <c r="N223" s="99">
        <f>Tabla3[[#This Row],[NUMBER OF DAYS]]*Tabla3[[#This Row],[MAX. UNIT COST PER DAY]]</f>
        <v>47</v>
      </c>
      <c r="O223" s="162"/>
      <c r="P223" s="152"/>
      <c r="Q223" s="152"/>
      <c r="R223" s="152"/>
      <c r="S223" s="152"/>
      <c r="T223" s="152"/>
      <c r="U223" s="152"/>
      <c r="V223" s="152"/>
      <c r="W223" s="152"/>
      <c r="X223" s="152"/>
      <c r="Y223" s="152"/>
      <c r="Z223" s="152"/>
      <c r="AA223" s="152"/>
      <c r="AB223" s="152"/>
      <c r="AC223" s="152"/>
      <c r="AD223" s="152"/>
      <c r="AE223" s="152"/>
      <c r="AF223" s="152"/>
      <c r="AG223" s="152"/>
      <c r="AH223" s="152"/>
    </row>
    <row r="224" spans="1:34" x14ac:dyDescent="0.25">
      <c r="A224" s="94" t="s">
        <v>24</v>
      </c>
      <c r="B224" s="45" t="s">
        <v>58</v>
      </c>
      <c r="C224" s="45" t="s">
        <v>105</v>
      </c>
      <c r="D224" s="75" t="s">
        <v>92</v>
      </c>
      <c r="E224" s="149" t="s">
        <v>318</v>
      </c>
      <c r="F224" s="45" t="s">
        <v>239</v>
      </c>
      <c r="G224" s="45" t="s">
        <v>47</v>
      </c>
      <c r="H224" s="45" t="s">
        <v>225</v>
      </c>
      <c r="I224" s="45" t="s">
        <v>320</v>
      </c>
      <c r="J224" s="78">
        <v>44027</v>
      </c>
      <c r="K224" s="78">
        <v>44210</v>
      </c>
      <c r="L224" s="45">
        <v>4</v>
      </c>
      <c r="M224" s="99">
        <f t="shared" si="17"/>
        <v>47</v>
      </c>
      <c r="N224" s="99">
        <f>Tabla3[[#This Row],[NUMBER OF DAYS]]*Tabla3[[#This Row],[MAX. UNIT COST PER DAY]]</f>
        <v>188</v>
      </c>
      <c r="O224" s="162"/>
      <c r="P224" s="152"/>
      <c r="Q224" s="152"/>
      <c r="R224" s="152"/>
      <c r="S224" s="152"/>
      <c r="T224" s="152"/>
      <c r="U224" s="152"/>
      <c r="V224" s="152"/>
      <c r="W224" s="152"/>
      <c r="X224" s="152"/>
      <c r="Y224" s="152"/>
      <c r="Z224" s="152"/>
      <c r="AA224" s="152"/>
      <c r="AB224" s="152"/>
      <c r="AC224" s="152"/>
      <c r="AD224" s="152"/>
      <c r="AE224" s="152"/>
      <c r="AF224" s="152"/>
      <c r="AG224" s="152"/>
      <c r="AH224" s="152"/>
    </row>
    <row r="225" spans="1:34" x14ac:dyDescent="0.25">
      <c r="A225" s="94" t="s">
        <v>74</v>
      </c>
      <c r="B225" s="45" t="s">
        <v>58</v>
      </c>
      <c r="C225" s="45" t="s">
        <v>105</v>
      </c>
      <c r="D225" s="75" t="s">
        <v>92</v>
      </c>
      <c r="E225" s="149" t="s">
        <v>319</v>
      </c>
      <c r="F225" s="148" t="s">
        <v>242</v>
      </c>
      <c r="G225" s="45" t="s">
        <v>229</v>
      </c>
      <c r="H225" s="45" t="s">
        <v>210</v>
      </c>
      <c r="I225" s="45" t="s">
        <v>321</v>
      </c>
      <c r="J225" s="78">
        <v>44027</v>
      </c>
      <c r="K225" s="78">
        <v>44210</v>
      </c>
      <c r="L225" s="45">
        <v>5</v>
      </c>
      <c r="M225" s="99">
        <f t="shared" si="17"/>
        <v>17</v>
      </c>
      <c r="N225" s="99">
        <f>Tabla3[[#This Row],[NUMBER OF DAYS]]*Tabla3[[#This Row],[MAX. UNIT COST PER DAY]]</f>
        <v>85</v>
      </c>
      <c r="O225" s="162"/>
      <c r="P225" s="152"/>
      <c r="Q225" s="152"/>
      <c r="R225" s="152"/>
      <c r="S225" s="152"/>
      <c r="T225" s="152"/>
      <c r="U225" s="152"/>
      <c r="V225" s="152"/>
      <c r="W225" s="152"/>
      <c r="X225" s="152"/>
      <c r="Y225" s="152"/>
      <c r="Z225" s="152"/>
      <c r="AA225" s="152"/>
      <c r="AB225" s="152"/>
      <c r="AC225" s="152"/>
      <c r="AD225" s="152"/>
      <c r="AE225" s="152"/>
      <c r="AF225" s="152"/>
      <c r="AG225" s="152"/>
      <c r="AH225" s="152"/>
    </row>
    <row r="226" spans="1:34" x14ac:dyDescent="0.25">
      <c r="A226" s="94" t="s">
        <v>73</v>
      </c>
      <c r="B226" s="45" t="s">
        <v>58</v>
      </c>
      <c r="C226" s="45" t="s">
        <v>105</v>
      </c>
      <c r="D226" s="75" t="s">
        <v>92</v>
      </c>
      <c r="E226" s="149" t="s">
        <v>319</v>
      </c>
      <c r="F226" s="148" t="s">
        <v>242</v>
      </c>
      <c r="G226" s="45" t="s">
        <v>229</v>
      </c>
      <c r="H226" s="45" t="s">
        <v>213</v>
      </c>
      <c r="I226" s="45" t="s">
        <v>322</v>
      </c>
      <c r="J226" s="78">
        <v>44027</v>
      </c>
      <c r="K226" s="78">
        <v>44210</v>
      </c>
      <c r="L226" s="45">
        <v>3</v>
      </c>
      <c r="M226" s="99">
        <f t="shared" si="17"/>
        <v>17</v>
      </c>
      <c r="N226" s="99">
        <f>Tabla3[[#This Row],[NUMBER OF DAYS]]*Tabla3[[#This Row],[MAX. UNIT COST PER DAY]]</f>
        <v>51</v>
      </c>
      <c r="O226" s="162"/>
      <c r="P226" s="152"/>
      <c r="Q226" s="152"/>
      <c r="R226" s="152"/>
      <c r="S226" s="152"/>
      <c r="T226" s="152"/>
      <c r="U226" s="152"/>
      <c r="V226" s="152"/>
      <c r="W226" s="152"/>
      <c r="X226" s="152"/>
      <c r="Y226" s="152"/>
      <c r="Z226" s="152"/>
      <c r="AA226" s="152"/>
      <c r="AB226" s="152"/>
      <c r="AC226" s="152"/>
      <c r="AD226" s="152"/>
      <c r="AE226" s="152"/>
      <c r="AF226" s="152"/>
      <c r="AG226" s="152"/>
      <c r="AH226" s="152"/>
    </row>
    <row r="227" spans="1:34" x14ac:dyDescent="0.25">
      <c r="A227" s="94" t="s">
        <v>23</v>
      </c>
      <c r="B227" s="45" t="s">
        <v>58</v>
      </c>
      <c r="C227" s="45" t="s">
        <v>105</v>
      </c>
      <c r="D227" s="75" t="s">
        <v>92</v>
      </c>
      <c r="E227" s="149" t="s">
        <v>319</v>
      </c>
      <c r="F227" s="148" t="s">
        <v>242</v>
      </c>
      <c r="G227" s="45" t="s">
        <v>229</v>
      </c>
      <c r="H227" s="45" t="s">
        <v>211</v>
      </c>
      <c r="I227" s="45" t="s">
        <v>317</v>
      </c>
      <c r="J227" s="78">
        <v>44027</v>
      </c>
      <c r="K227" s="78">
        <v>44210</v>
      </c>
      <c r="L227" s="45">
        <v>1</v>
      </c>
      <c r="M227" s="99">
        <f t="shared" si="17"/>
        <v>17</v>
      </c>
      <c r="N227" s="99">
        <f>Tabla3[[#This Row],[NUMBER OF DAYS]]*Tabla3[[#This Row],[MAX. UNIT COST PER DAY]]</f>
        <v>17</v>
      </c>
      <c r="O227" s="162"/>
      <c r="P227" s="152"/>
      <c r="Q227" s="152"/>
      <c r="R227" s="152"/>
      <c r="S227" s="152"/>
      <c r="T227" s="152"/>
      <c r="U227" s="152"/>
      <c r="V227" s="152"/>
      <c r="W227" s="152"/>
      <c r="X227" s="152"/>
      <c r="Y227" s="152"/>
      <c r="Z227" s="152"/>
      <c r="AA227" s="152"/>
      <c r="AB227" s="152"/>
      <c r="AC227" s="152"/>
      <c r="AD227" s="152"/>
      <c r="AE227" s="152"/>
      <c r="AF227" s="152"/>
      <c r="AG227" s="152"/>
      <c r="AH227" s="152"/>
    </row>
    <row r="228" spans="1:34" x14ac:dyDescent="0.25">
      <c r="A228" s="94" t="s">
        <v>24</v>
      </c>
      <c r="B228" s="45" t="s">
        <v>58</v>
      </c>
      <c r="C228" s="45" t="s">
        <v>105</v>
      </c>
      <c r="D228" s="75" t="s">
        <v>92</v>
      </c>
      <c r="E228" s="149" t="s">
        <v>319</v>
      </c>
      <c r="F228" s="148" t="s">
        <v>242</v>
      </c>
      <c r="G228" s="45" t="s">
        <v>229</v>
      </c>
      <c r="H228" s="45" t="s">
        <v>225</v>
      </c>
      <c r="I228" s="45" t="s">
        <v>323</v>
      </c>
      <c r="J228" s="78">
        <v>44027</v>
      </c>
      <c r="K228" s="78">
        <v>44210</v>
      </c>
      <c r="L228" s="45">
        <v>2</v>
      </c>
      <c r="M228" s="99">
        <f t="shared" si="17"/>
        <v>17</v>
      </c>
      <c r="N228" s="99">
        <f>Tabla3[[#This Row],[NUMBER OF DAYS]]*Tabla3[[#This Row],[MAX. UNIT COST PER DAY]]</f>
        <v>34</v>
      </c>
      <c r="O228" s="162"/>
      <c r="P228" s="152"/>
      <c r="Q228" s="152"/>
      <c r="R228" s="152"/>
      <c r="S228" s="152"/>
      <c r="T228" s="152"/>
      <c r="U228" s="152"/>
      <c r="V228" s="152"/>
      <c r="W228" s="152"/>
      <c r="X228" s="152"/>
      <c r="Y228" s="152"/>
      <c r="Z228" s="152"/>
      <c r="AA228" s="152"/>
      <c r="AB228" s="152"/>
      <c r="AC228" s="152"/>
      <c r="AD228" s="152"/>
      <c r="AE228" s="152"/>
      <c r="AF228" s="152"/>
      <c r="AG228" s="152"/>
      <c r="AH228" s="152"/>
    </row>
    <row r="229" spans="1:34" x14ac:dyDescent="0.25">
      <c r="A229" s="94" t="s">
        <v>24</v>
      </c>
      <c r="B229" s="45" t="s">
        <v>58</v>
      </c>
      <c r="C229" s="45" t="s">
        <v>105</v>
      </c>
      <c r="D229" s="75" t="s">
        <v>92</v>
      </c>
      <c r="E229" s="149" t="s">
        <v>603</v>
      </c>
      <c r="F229" s="45" t="s">
        <v>239</v>
      </c>
      <c r="G229" s="45" t="s">
        <v>47</v>
      </c>
      <c r="H229" s="45" t="s">
        <v>225</v>
      </c>
      <c r="I229" s="45" t="s">
        <v>605</v>
      </c>
      <c r="J229" s="196">
        <v>44211</v>
      </c>
      <c r="K229" s="196">
        <v>44391</v>
      </c>
      <c r="L229" s="45">
        <v>4</v>
      </c>
      <c r="M229" s="99">
        <f t="shared" ref="M229:M234" si="18">IF(AND(G229="Manager",D229="Spain"),164,IF(AND(G229="Teacher/Trainer/Researcher",D229="Spain"),137,IF(AND(G229="Technical Staff",D229="Spain"),164,IF(AND(G229="Administrative staff",D229="Spain"),164,IF(AND(G229="Manager",D229="Slovenia"),164,IF(AND(G229="Teacher/Trainer/Researcher",D229="Slovenia"),137,IF(AND(G229="Technical Staff",D229="Slovenia"),102,IF(AND(G229="Administrative staff",D229="Slovenia"),78,IF(AND(G229="Manager",D229="Italy"),280,IF(AND(G229="Teacher/Trainer/Researcher",D229="Italy"),214,IF(AND(G229="Technical Staff",D229="Italy"),162,IF(AND(G229="Administrative staff",D229="Italy"),131,IF(AND(G229="Manager",D229="Kazakstan"),77,IF(AND(G229="Teacher/Trainer/Researcher",D229="Kazakstan"),57,IF(AND(G229="Technical Staff",D229="Kazakstan"),40,IF(AND(G229="Administrative staff",D229="Kazakstan"),32,IF(AND(G229="Manager",D229="Turkmenistan"),47,IF(AND(G229="Teacher/Trainer/Researcher",D229="Turkmenistan"),33,IF(AND(G229="Technical Staff",D229="Turkmenistan"),22,IF(AND(G229="Administrative staff",D229="Turkmenistan"),17,IF(AND(G229="Manager",D229="Tajikistan"),47,IF(AND(G229="Teacher/Trainer/Researcher",D229="Tajikistan"),33,IF(AND(G229="Technical Staff",D229="Tajikistan"),22,IF(AND(G229="Administrative staff",D229="Tajikistan"),17,))))))))))))))))))))))))</f>
        <v>47</v>
      </c>
      <c r="N229" s="99">
        <f>Tabla3[[#This Row],[NUMBER OF DAYS]]*Tabla3[[#This Row],[MAX. UNIT COST PER DAY]]</f>
        <v>188</v>
      </c>
      <c r="O229" s="162"/>
      <c r="P229" s="188"/>
      <c r="Q229" s="188"/>
      <c r="R229" s="188"/>
      <c r="S229" s="188"/>
      <c r="T229" s="188"/>
      <c r="U229" s="188"/>
      <c r="V229" s="188"/>
      <c r="W229" s="188"/>
      <c r="X229" s="188"/>
      <c r="Y229" s="188"/>
      <c r="Z229" s="188"/>
      <c r="AA229" s="188"/>
      <c r="AB229" s="188"/>
      <c r="AC229" s="188"/>
      <c r="AD229" s="188"/>
      <c r="AE229" s="188"/>
      <c r="AF229" s="188"/>
      <c r="AG229" s="188"/>
      <c r="AH229" s="188"/>
    </row>
    <row r="230" spans="1:34" x14ac:dyDescent="0.25">
      <c r="A230" s="94" t="s">
        <v>74</v>
      </c>
      <c r="B230" s="45" t="s">
        <v>58</v>
      </c>
      <c r="C230" s="45" t="s">
        <v>105</v>
      </c>
      <c r="D230" s="75" t="s">
        <v>92</v>
      </c>
      <c r="E230" s="149" t="s">
        <v>603</v>
      </c>
      <c r="F230" s="45" t="s">
        <v>239</v>
      </c>
      <c r="G230" s="45" t="s">
        <v>47</v>
      </c>
      <c r="H230" s="45" t="s">
        <v>210</v>
      </c>
      <c r="I230" s="45" t="s">
        <v>604</v>
      </c>
      <c r="J230" s="196">
        <v>44211</v>
      </c>
      <c r="K230" s="196">
        <v>44391</v>
      </c>
      <c r="L230" s="45">
        <v>6</v>
      </c>
      <c r="M230" s="99">
        <f t="shared" si="18"/>
        <v>47</v>
      </c>
      <c r="N230" s="99">
        <f>Tabla3[[#This Row],[NUMBER OF DAYS]]*Tabla3[[#This Row],[MAX. UNIT COST PER DAY]]</f>
        <v>282</v>
      </c>
      <c r="O230" s="162"/>
      <c r="P230" s="188"/>
      <c r="Q230" s="188"/>
      <c r="R230" s="188"/>
      <c r="S230" s="188"/>
      <c r="T230" s="188"/>
      <c r="U230" s="188"/>
      <c r="V230" s="188"/>
      <c r="W230" s="188"/>
      <c r="X230" s="188"/>
      <c r="Y230" s="188"/>
      <c r="Z230" s="188"/>
      <c r="AA230" s="188"/>
      <c r="AB230" s="188"/>
      <c r="AC230" s="188"/>
      <c r="AD230" s="188"/>
      <c r="AE230" s="188"/>
      <c r="AF230" s="188"/>
      <c r="AG230" s="188"/>
      <c r="AH230" s="188"/>
    </row>
    <row r="231" spans="1:34" x14ac:dyDescent="0.25">
      <c r="A231" s="94" t="s">
        <v>73</v>
      </c>
      <c r="B231" s="45" t="s">
        <v>58</v>
      </c>
      <c r="C231" s="45" t="s">
        <v>105</v>
      </c>
      <c r="D231" s="75" t="s">
        <v>92</v>
      </c>
      <c r="E231" s="149" t="s">
        <v>603</v>
      </c>
      <c r="F231" s="45" t="s">
        <v>239</v>
      </c>
      <c r="G231" s="45" t="s">
        <v>47</v>
      </c>
      <c r="H231" s="45" t="s">
        <v>213</v>
      </c>
      <c r="I231" s="45" t="s">
        <v>606</v>
      </c>
      <c r="J231" s="196">
        <v>44211</v>
      </c>
      <c r="K231" s="196">
        <v>44391</v>
      </c>
      <c r="L231" s="45">
        <v>4</v>
      </c>
      <c r="M231" s="99">
        <f t="shared" si="18"/>
        <v>47</v>
      </c>
      <c r="N231" s="99">
        <f>Tabla3[[#This Row],[NUMBER OF DAYS]]*Tabla3[[#This Row],[MAX. UNIT COST PER DAY]]</f>
        <v>188</v>
      </c>
      <c r="O231" s="162"/>
      <c r="P231" s="188"/>
      <c r="Q231" s="188"/>
      <c r="R231" s="188"/>
      <c r="S231" s="188"/>
      <c r="T231" s="188"/>
      <c r="U231" s="188"/>
      <c r="V231" s="188"/>
      <c r="W231" s="188"/>
      <c r="X231" s="188"/>
      <c r="Y231" s="188"/>
      <c r="Z231" s="188"/>
      <c r="AA231" s="188"/>
      <c r="AB231" s="188"/>
      <c r="AC231" s="188"/>
      <c r="AD231" s="188"/>
      <c r="AE231" s="188"/>
      <c r="AF231" s="188"/>
      <c r="AG231" s="188"/>
      <c r="AH231" s="188"/>
    </row>
    <row r="232" spans="1:34" x14ac:dyDescent="0.25">
      <c r="A232" s="94" t="s">
        <v>74</v>
      </c>
      <c r="B232" s="45" t="s">
        <v>58</v>
      </c>
      <c r="C232" s="45" t="s">
        <v>105</v>
      </c>
      <c r="D232" s="75" t="s">
        <v>92</v>
      </c>
      <c r="E232" s="149" t="s">
        <v>607</v>
      </c>
      <c r="F232" s="148" t="s">
        <v>242</v>
      </c>
      <c r="G232" s="45" t="s">
        <v>229</v>
      </c>
      <c r="H232" s="45" t="s">
        <v>210</v>
      </c>
      <c r="I232" s="45" t="s">
        <v>608</v>
      </c>
      <c r="J232" s="196">
        <v>44211</v>
      </c>
      <c r="K232" s="196">
        <v>44391</v>
      </c>
      <c r="L232" s="45">
        <v>2</v>
      </c>
      <c r="M232" s="99">
        <f t="shared" si="18"/>
        <v>17</v>
      </c>
      <c r="N232" s="99">
        <f>Tabla3[[#This Row],[NUMBER OF DAYS]]*Tabla3[[#This Row],[MAX. UNIT COST PER DAY]]</f>
        <v>34</v>
      </c>
      <c r="O232" s="162"/>
      <c r="P232" s="188"/>
      <c r="Q232" s="188"/>
      <c r="R232" s="188"/>
      <c r="S232" s="188"/>
      <c r="T232" s="188"/>
      <c r="U232" s="188"/>
      <c r="V232" s="188"/>
      <c r="W232" s="188"/>
      <c r="X232" s="188"/>
      <c r="Y232" s="188"/>
      <c r="Z232" s="188"/>
      <c r="AA232" s="188"/>
      <c r="AB232" s="188"/>
      <c r="AC232" s="188"/>
      <c r="AD232" s="188"/>
      <c r="AE232" s="188"/>
      <c r="AF232" s="188"/>
      <c r="AG232" s="188"/>
      <c r="AH232" s="188"/>
    </row>
    <row r="233" spans="1:34" x14ac:dyDescent="0.25">
      <c r="A233" s="94" t="s">
        <v>73</v>
      </c>
      <c r="B233" s="45" t="s">
        <v>58</v>
      </c>
      <c r="C233" s="45" t="s">
        <v>105</v>
      </c>
      <c r="D233" s="75" t="s">
        <v>92</v>
      </c>
      <c r="E233" s="149" t="s">
        <v>607</v>
      </c>
      <c r="F233" s="148" t="s">
        <v>242</v>
      </c>
      <c r="G233" s="45" t="s">
        <v>229</v>
      </c>
      <c r="H233" s="45" t="s">
        <v>213</v>
      </c>
      <c r="I233" s="45" t="s">
        <v>606</v>
      </c>
      <c r="J233" s="196">
        <v>44211</v>
      </c>
      <c r="K233" s="196">
        <v>44391</v>
      </c>
      <c r="L233" s="45">
        <v>5</v>
      </c>
      <c r="M233" s="99">
        <f t="shared" si="18"/>
        <v>17</v>
      </c>
      <c r="N233" s="99">
        <f>Tabla3[[#This Row],[NUMBER OF DAYS]]*Tabla3[[#This Row],[MAX. UNIT COST PER DAY]]</f>
        <v>85</v>
      </c>
      <c r="O233" s="162"/>
      <c r="P233" s="188"/>
      <c r="Q233" s="188"/>
      <c r="R233" s="188"/>
      <c r="S233" s="188"/>
      <c r="T233" s="188"/>
      <c r="U233" s="188"/>
      <c r="V233" s="188"/>
      <c r="W233" s="188"/>
      <c r="X233" s="188"/>
      <c r="Y233" s="188"/>
      <c r="Z233" s="188"/>
      <c r="AA233" s="188"/>
      <c r="AB233" s="188"/>
      <c r="AC233" s="188"/>
      <c r="AD233" s="188"/>
      <c r="AE233" s="188"/>
      <c r="AF233" s="188"/>
      <c r="AG233" s="188"/>
      <c r="AH233" s="188"/>
    </row>
    <row r="234" spans="1:34" x14ac:dyDescent="0.25">
      <c r="A234" s="94" t="s">
        <v>24</v>
      </c>
      <c r="B234" s="45" t="s">
        <v>58</v>
      </c>
      <c r="C234" s="45" t="s">
        <v>105</v>
      </c>
      <c r="D234" s="75" t="s">
        <v>92</v>
      </c>
      <c r="E234" s="149" t="s">
        <v>607</v>
      </c>
      <c r="F234" s="148" t="s">
        <v>242</v>
      </c>
      <c r="G234" s="45" t="s">
        <v>229</v>
      </c>
      <c r="H234" s="45" t="s">
        <v>225</v>
      </c>
      <c r="I234" s="45" t="s">
        <v>605</v>
      </c>
      <c r="J234" s="196">
        <v>44211</v>
      </c>
      <c r="K234" s="196">
        <v>44391</v>
      </c>
      <c r="L234" s="45">
        <v>6</v>
      </c>
      <c r="M234" s="99">
        <f t="shared" si="18"/>
        <v>17</v>
      </c>
      <c r="N234" s="99">
        <f>Tabla3[[#This Row],[NUMBER OF DAYS]]*Tabla3[[#This Row],[MAX. UNIT COST PER DAY]]</f>
        <v>102</v>
      </c>
      <c r="O234" s="162"/>
      <c r="P234" s="188"/>
      <c r="Q234" s="188"/>
      <c r="R234" s="188"/>
      <c r="S234" s="188"/>
      <c r="T234" s="188"/>
      <c r="U234" s="188"/>
      <c r="V234" s="188"/>
      <c r="W234" s="188"/>
      <c r="X234" s="188"/>
      <c r="Y234" s="188"/>
      <c r="Z234" s="188"/>
      <c r="AA234" s="188"/>
      <c r="AB234" s="188"/>
      <c r="AC234" s="188"/>
      <c r="AD234" s="188"/>
      <c r="AE234" s="188"/>
      <c r="AF234" s="188"/>
      <c r="AG234" s="188"/>
      <c r="AH234" s="188"/>
    </row>
    <row r="235" spans="1:34" x14ac:dyDescent="0.25">
      <c r="A235" s="207" t="s">
        <v>24</v>
      </c>
      <c r="B235" s="45" t="s">
        <v>58</v>
      </c>
      <c r="C235" s="45" t="s">
        <v>105</v>
      </c>
      <c r="D235" s="75" t="s">
        <v>92</v>
      </c>
      <c r="E235" s="149" t="s">
        <v>679</v>
      </c>
      <c r="F235" s="45" t="s">
        <v>239</v>
      </c>
      <c r="G235" s="208" t="s">
        <v>47</v>
      </c>
      <c r="H235" s="45" t="s">
        <v>225</v>
      </c>
      <c r="I235" s="208" t="s">
        <v>675</v>
      </c>
      <c r="J235" s="210">
        <v>44392</v>
      </c>
      <c r="K235" s="196">
        <v>44561</v>
      </c>
      <c r="L235" s="208">
        <v>2</v>
      </c>
      <c r="M235" s="211">
        <f t="shared" ref="M235:M241" si="19">IF(AND(G235="Manager",D235="Spain"),164,IF(AND(G235="Researcher/Teacher/Trainer",D235="Spain"),137,IF(AND(G235="Technical Staff",D235="Spain"),164,IF(AND(G235="Administrative staff",D235="Spain"),164,IF(AND(G235="Manager",D235="Slovenia"),164,IF(AND(G235="Researcher/Teacher/Trainer",D235="Slovenia"),137,IF(AND(G235="Technical Staff",D235="Slovenia"),102,IF(AND(G235="Administrative staff",D235="Slovenia"),78,IF(AND(G235="Manager",D235="Italy"),280,IF(AND(G235="Researcher/Teacher/Trainer",D235="Italy"),214,IF(AND(G235="Technical Staff",D235="Italy"),162,IF(AND(G235="Administrative staff",D235="Italy"),131,IF(AND(G235="Manager",D235="Kazakstan"),77,IF(AND(G235="Researcher/Teacher/Trainer",D235="Kazakstan"),57,IF(AND(G235="Technical Staff",D235="Kazakstan"),40,IF(AND(G235="Administrative staff",D235="Kazakstan"),32,IF(AND(G235="Manager",D235="Turkmenistan"),47,IF(AND(G235="Researcher/Teacher/Trainer",D235="Turkmenistan"),33,IF(AND(G235="Technical Staff",D235="Turkmenistan"),22,IF(AND(G235="Administrative staff",D235="Turkmenistan"),17,IF(AND(G235="Manager",D235="Tajikistan"),47,IF(AND(G235="Researcher/Teacher/Trainer",D235="Tajikistan"),33,IF(AND(G235="Technical Staff",D235="Tajikistan"),22,IF(AND(G235="Administrative staff",D235="Tajikistan"),17,))))))))))))))))))))))))</f>
        <v>47</v>
      </c>
      <c r="N235" s="211">
        <f>Tabla3[[#This Row],[NUMBER OF DAYS]]*Tabla3[[#This Row],[MAX. UNIT COST PER DAY]]</f>
        <v>94</v>
      </c>
      <c r="O235" s="162"/>
      <c r="P235" s="188"/>
      <c r="Q235" s="188"/>
      <c r="R235" s="188"/>
      <c r="S235" s="188"/>
      <c r="T235" s="188"/>
      <c r="U235" s="188"/>
      <c r="V235" s="188"/>
      <c r="W235" s="188"/>
      <c r="X235" s="188"/>
      <c r="Y235" s="188"/>
      <c r="Z235" s="188"/>
      <c r="AA235" s="188"/>
      <c r="AB235" s="188"/>
      <c r="AC235" s="188"/>
      <c r="AD235" s="188"/>
      <c r="AE235" s="188"/>
      <c r="AF235" s="188"/>
      <c r="AG235" s="188"/>
      <c r="AH235" s="188"/>
    </row>
    <row r="236" spans="1:34" x14ac:dyDescent="0.25">
      <c r="A236" s="207" t="s">
        <v>73</v>
      </c>
      <c r="B236" s="45" t="s">
        <v>58</v>
      </c>
      <c r="C236" s="45" t="s">
        <v>105</v>
      </c>
      <c r="D236" s="75" t="s">
        <v>92</v>
      </c>
      <c r="E236" s="149" t="s">
        <v>679</v>
      </c>
      <c r="F236" s="45" t="s">
        <v>239</v>
      </c>
      <c r="G236" s="208" t="s">
        <v>47</v>
      </c>
      <c r="H236" s="45" t="s">
        <v>213</v>
      </c>
      <c r="I236" s="208" t="s">
        <v>676</v>
      </c>
      <c r="J236" s="210">
        <v>44392</v>
      </c>
      <c r="K236" s="196">
        <v>44561</v>
      </c>
      <c r="L236" s="208">
        <v>3</v>
      </c>
      <c r="M236" s="211">
        <f t="shared" si="19"/>
        <v>47</v>
      </c>
      <c r="N236" s="211">
        <f>Tabla3[[#This Row],[NUMBER OF DAYS]]*Tabla3[[#This Row],[MAX. UNIT COST PER DAY]]</f>
        <v>141</v>
      </c>
      <c r="O236" s="162"/>
      <c r="P236" s="188"/>
      <c r="Q236" s="188"/>
      <c r="R236" s="188"/>
      <c r="S236" s="188"/>
      <c r="T236" s="188"/>
      <c r="U236" s="188"/>
      <c r="V236" s="188"/>
      <c r="W236" s="188"/>
      <c r="X236" s="188"/>
      <c r="Y236" s="188"/>
      <c r="Z236" s="188"/>
      <c r="AA236" s="188"/>
      <c r="AB236" s="188"/>
      <c r="AC236" s="188"/>
      <c r="AD236" s="188"/>
      <c r="AE236" s="188"/>
      <c r="AF236" s="188"/>
      <c r="AG236" s="188"/>
      <c r="AH236" s="188"/>
    </row>
    <row r="237" spans="1:34" x14ac:dyDescent="0.25">
      <c r="A237" s="207" t="s">
        <v>74</v>
      </c>
      <c r="B237" s="45" t="s">
        <v>58</v>
      </c>
      <c r="C237" s="45" t="s">
        <v>105</v>
      </c>
      <c r="D237" s="75" t="s">
        <v>92</v>
      </c>
      <c r="E237" s="149" t="s">
        <v>679</v>
      </c>
      <c r="F237" s="45" t="s">
        <v>239</v>
      </c>
      <c r="G237" s="208" t="s">
        <v>47</v>
      </c>
      <c r="H237" s="45" t="s">
        <v>210</v>
      </c>
      <c r="I237" s="208" t="s">
        <v>677</v>
      </c>
      <c r="J237" s="210">
        <v>44392</v>
      </c>
      <c r="K237" s="196">
        <v>44561</v>
      </c>
      <c r="L237" s="208">
        <v>6</v>
      </c>
      <c r="M237" s="211">
        <f t="shared" si="19"/>
        <v>47</v>
      </c>
      <c r="N237" s="211">
        <f>Tabla3[[#This Row],[NUMBER OF DAYS]]*Tabla3[[#This Row],[MAX. UNIT COST PER DAY]]</f>
        <v>282</v>
      </c>
      <c r="O237" s="162"/>
      <c r="P237" s="188"/>
      <c r="Q237" s="188"/>
      <c r="R237" s="188"/>
      <c r="S237" s="188"/>
      <c r="T237" s="188"/>
      <c r="U237" s="188"/>
      <c r="V237" s="188"/>
      <c r="W237" s="188"/>
      <c r="X237" s="188"/>
      <c r="Y237" s="188"/>
      <c r="Z237" s="188"/>
      <c r="AA237" s="188"/>
      <c r="AB237" s="188"/>
      <c r="AC237" s="188"/>
      <c r="AD237" s="188"/>
      <c r="AE237" s="188"/>
      <c r="AF237" s="188"/>
      <c r="AG237" s="188"/>
      <c r="AH237" s="188"/>
    </row>
    <row r="238" spans="1:34" x14ac:dyDescent="0.25">
      <c r="A238" s="207" t="s">
        <v>72</v>
      </c>
      <c r="B238" s="45" t="s">
        <v>58</v>
      </c>
      <c r="C238" s="45" t="s">
        <v>105</v>
      </c>
      <c r="D238" s="75" t="s">
        <v>92</v>
      </c>
      <c r="E238" s="149" t="s">
        <v>679</v>
      </c>
      <c r="F238" s="45" t="s">
        <v>239</v>
      </c>
      <c r="G238" s="208" t="s">
        <v>47</v>
      </c>
      <c r="H238" s="45" t="s">
        <v>212</v>
      </c>
      <c r="I238" s="208" t="s">
        <v>678</v>
      </c>
      <c r="J238" s="210">
        <v>44392</v>
      </c>
      <c r="K238" s="196">
        <v>44561</v>
      </c>
      <c r="L238" s="208">
        <v>2</v>
      </c>
      <c r="M238" s="211">
        <f t="shared" si="19"/>
        <v>47</v>
      </c>
      <c r="N238" s="211">
        <f>Tabla3[[#This Row],[NUMBER OF DAYS]]*Tabla3[[#This Row],[MAX. UNIT COST PER DAY]]</f>
        <v>94</v>
      </c>
      <c r="O238" s="162"/>
      <c r="P238" s="188"/>
      <c r="Q238" s="188"/>
      <c r="R238" s="188"/>
      <c r="S238" s="188"/>
      <c r="T238" s="188"/>
      <c r="U238" s="188"/>
      <c r="V238" s="188"/>
      <c r="W238" s="188"/>
      <c r="X238" s="188"/>
      <c r="Y238" s="188"/>
      <c r="Z238" s="188"/>
      <c r="AA238" s="188"/>
      <c r="AB238" s="188"/>
      <c r="AC238" s="188"/>
      <c r="AD238" s="188"/>
      <c r="AE238" s="188"/>
      <c r="AF238" s="188"/>
      <c r="AG238" s="188"/>
      <c r="AH238" s="188"/>
    </row>
    <row r="239" spans="1:34" x14ac:dyDescent="0.25">
      <c r="A239" s="94" t="s">
        <v>73</v>
      </c>
      <c r="B239" s="45" t="s">
        <v>58</v>
      </c>
      <c r="C239" s="45" t="s">
        <v>105</v>
      </c>
      <c r="D239" s="75" t="s">
        <v>92</v>
      </c>
      <c r="E239" s="149" t="s">
        <v>680</v>
      </c>
      <c r="F239" s="148" t="s">
        <v>242</v>
      </c>
      <c r="G239" s="45" t="s">
        <v>229</v>
      </c>
      <c r="H239" s="45" t="s">
        <v>213</v>
      </c>
      <c r="I239" s="208" t="s">
        <v>681</v>
      </c>
      <c r="J239" s="210">
        <v>44392</v>
      </c>
      <c r="K239" s="196">
        <v>44561</v>
      </c>
      <c r="L239" s="208">
        <v>4</v>
      </c>
      <c r="M239" s="211">
        <f t="shared" si="19"/>
        <v>17</v>
      </c>
      <c r="N239" s="211">
        <f>Tabla3[[#This Row],[NUMBER OF DAYS]]*Tabla3[[#This Row],[MAX. UNIT COST PER DAY]]</f>
        <v>68</v>
      </c>
      <c r="O239" s="162"/>
      <c r="P239" s="188"/>
      <c r="Q239" s="188"/>
      <c r="R239" s="188"/>
      <c r="S239" s="188"/>
      <c r="T239" s="188"/>
      <c r="U239" s="188"/>
      <c r="V239" s="188"/>
      <c r="W239" s="188"/>
      <c r="X239" s="188"/>
      <c r="Y239" s="188"/>
      <c r="Z239" s="188"/>
      <c r="AA239" s="188"/>
      <c r="AB239" s="188"/>
      <c r="AC239" s="188"/>
      <c r="AD239" s="188"/>
      <c r="AE239" s="188"/>
      <c r="AF239" s="188"/>
      <c r="AG239" s="188"/>
      <c r="AH239" s="188"/>
    </row>
    <row r="240" spans="1:34" x14ac:dyDescent="0.25">
      <c r="A240" s="94" t="s">
        <v>74</v>
      </c>
      <c r="B240" s="45" t="s">
        <v>58</v>
      </c>
      <c r="C240" s="45" t="s">
        <v>105</v>
      </c>
      <c r="D240" s="75" t="s">
        <v>92</v>
      </c>
      <c r="E240" s="149" t="s">
        <v>680</v>
      </c>
      <c r="F240" s="148" t="s">
        <v>242</v>
      </c>
      <c r="G240" s="45" t="s">
        <v>229</v>
      </c>
      <c r="H240" s="45" t="s">
        <v>210</v>
      </c>
      <c r="I240" s="208" t="s">
        <v>682</v>
      </c>
      <c r="J240" s="210">
        <v>44392</v>
      </c>
      <c r="K240" s="196">
        <v>44561</v>
      </c>
      <c r="L240" s="208">
        <v>4</v>
      </c>
      <c r="M240" s="211">
        <f t="shared" si="19"/>
        <v>17</v>
      </c>
      <c r="N240" s="211">
        <f>Tabla3[[#This Row],[NUMBER OF DAYS]]*Tabla3[[#This Row],[MAX. UNIT COST PER DAY]]</f>
        <v>68</v>
      </c>
      <c r="O240" s="162"/>
      <c r="P240" s="188"/>
      <c r="Q240" s="188"/>
      <c r="R240" s="188"/>
      <c r="S240" s="188"/>
      <c r="T240" s="188"/>
      <c r="U240" s="188"/>
      <c r="V240" s="188"/>
      <c r="W240" s="188"/>
      <c r="X240" s="188"/>
      <c r="Y240" s="188"/>
      <c r="Z240" s="188"/>
      <c r="AA240" s="188"/>
      <c r="AB240" s="188"/>
      <c r="AC240" s="188"/>
      <c r="AD240" s="188"/>
      <c r="AE240" s="188"/>
      <c r="AF240" s="188"/>
      <c r="AG240" s="188"/>
      <c r="AH240" s="188"/>
    </row>
    <row r="241" spans="1:34" x14ac:dyDescent="0.25">
      <c r="A241" s="94" t="s">
        <v>72</v>
      </c>
      <c r="B241" s="45" t="s">
        <v>58</v>
      </c>
      <c r="C241" s="45" t="s">
        <v>105</v>
      </c>
      <c r="D241" s="75" t="s">
        <v>92</v>
      </c>
      <c r="E241" s="149" t="s">
        <v>680</v>
      </c>
      <c r="F241" s="148" t="s">
        <v>242</v>
      </c>
      <c r="G241" s="45" t="s">
        <v>229</v>
      </c>
      <c r="H241" s="45" t="s">
        <v>212</v>
      </c>
      <c r="I241" s="208" t="s">
        <v>678</v>
      </c>
      <c r="J241" s="210">
        <v>44392</v>
      </c>
      <c r="K241" s="196">
        <v>44561</v>
      </c>
      <c r="L241" s="208">
        <v>2</v>
      </c>
      <c r="M241" s="211">
        <f t="shared" si="19"/>
        <v>17</v>
      </c>
      <c r="N241" s="211">
        <f>Tabla3[[#This Row],[NUMBER OF DAYS]]*Tabla3[[#This Row],[MAX. UNIT COST PER DAY]]</f>
        <v>34</v>
      </c>
      <c r="O241" s="162"/>
      <c r="P241" s="188"/>
      <c r="Q241" s="188"/>
      <c r="R241" s="188"/>
      <c r="S241" s="188"/>
      <c r="T241" s="188"/>
      <c r="U241" s="188"/>
      <c r="V241" s="188"/>
      <c r="W241" s="188"/>
      <c r="X241" s="188"/>
      <c r="Y241" s="188"/>
      <c r="Z241" s="188"/>
      <c r="AA241" s="188"/>
      <c r="AB241" s="188"/>
      <c r="AC241" s="188"/>
      <c r="AD241" s="188"/>
      <c r="AE241" s="188"/>
      <c r="AF241" s="188"/>
      <c r="AG241" s="188"/>
      <c r="AH241" s="188"/>
    </row>
    <row r="242" spans="1:34" x14ac:dyDescent="0.25">
      <c r="A242" s="89"/>
      <c r="B242" s="66"/>
      <c r="C242" s="66"/>
      <c r="D242" s="69"/>
      <c r="E242" s="91"/>
      <c r="F242" s="89"/>
      <c r="G242" s="89"/>
      <c r="H242" s="89"/>
      <c r="I242" s="89"/>
      <c r="J242" s="91"/>
      <c r="K242" s="91"/>
      <c r="L242" s="89"/>
      <c r="M242" s="89"/>
      <c r="N242" s="102">
        <f>Tabla3[[#This Row],[NUMBER OF DAYS]]*Tabla3[[#This Row],[MAX. UNIT COST PER DAY]]</f>
        <v>0</v>
      </c>
    </row>
    <row r="243" spans="1:34" x14ac:dyDescent="0.25">
      <c r="A243" s="45" t="s">
        <v>74</v>
      </c>
      <c r="B243" s="45" t="s">
        <v>59</v>
      </c>
      <c r="C243" s="45" t="s">
        <v>789</v>
      </c>
      <c r="D243" s="75" t="s">
        <v>449</v>
      </c>
      <c r="E243" s="75" t="s">
        <v>155</v>
      </c>
      <c r="F243" s="45" t="s">
        <v>154</v>
      </c>
      <c r="G243" s="45" t="s">
        <v>47</v>
      </c>
      <c r="H243" s="96" t="s">
        <v>210</v>
      </c>
      <c r="I243" s="45" t="s">
        <v>791</v>
      </c>
      <c r="J243" s="78">
        <v>43845</v>
      </c>
      <c r="K243" s="78">
        <v>44026</v>
      </c>
      <c r="L243" s="45">
        <v>3</v>
      </c>
      <c r="M243" s="99">
        <f t="shared" ref="M243:M274" si="20">IF(AND(G243="Manager",D243="Spain"),164,IF(AND(G243="Teacher/Trainer/Researcher",D243="Spain"),137,IF(AND(G243="Technical Staff",D243="Spain"),102,IF(AND(G243="Administrative staff",D243="Spain"),78,IF(AND(G243="Manager",D243="Slovenia"),164,IF(AND(G243="Teacher/Trainer/Researcher",D243="Slovenia"),137,IF(AND(G243="Technical Staff",D243="Slovenia"),102,IF(AND(G243="Administrative staff",D243="Slovenia"),78,IF(AND(G243="Manager",D243="Italy"),280,IF(AND(G243="Teacher/Trainer/Researcher",D243="Italy"),214,IF(AND(G243="Technical Staff",D243="Italy"),162,IF(AND(G243="Administrative staff",D243="Italy"),131,IF(AND(G243="Manager",D243="Kazakhstan"),77,IF(AND(G243="Teacher/Trainer/Researcher",D243="Kazakhstan"),57,IF(AND(G243="Technical Staff",D243="Kazakhstan"),40,IF(AND(G243="Administrative staff",D243="Kazakhstan"),32,IF(AND(G243="Manager",D243="Turkmenistan"),47,IF(AND(G243="Teacher/Trainer/Researcher",D243="Turkmenistan"),33,IF(AND(G243="Technical Staff",D243="Turkmenistan"),22,IF(AND(G243="Administrative staff",D243="Turkmenistan"),17,IF(AND(G243="Manager",D243="Tajikistan"),47,IF(AND(G243="Teacher/Trainer/Researcher",D243="Tajikistan"),33,IF(AND(G243="Technical Staff",D243="Tajikistan"),22,IF(AND(G243="Administrative staff",D243="Tajikistan"),17,))))))))))))))))))))))))</f>
        <v>77</v>
      </c>
      <c r="N243" s="99">
        <f>Tabla3[[#This Row],[NUMBER OF DAYS]]*Tabla3[[#This Row],[MAX. UNIT COST PER DAY]]</f>
        <v>231</v>
      </c>
    </row>
    <row r="244" spans="1:34" x14ac:dyDescent="0.25">
      <c r="A244" s="94" t="s">
        <v>23</v>
      </c>
      <c r="B244" s="45" t="s">
        <v>59</v>
      </c>
      <c r="C244" s="45" t="s">
        <v>789</v>
      </c>
      <c r="D244" s="75" t="s">
        <v>449</v>
      </c>
      <c r="E244" s="75" t="s">
        <v>155</v>
      </c>
      <c r="F244" s="45" t="s">
        <v>154</v>
      </c>
      <c r="G244" s="45" t="s">
        <v>47</v>
      </c>
      <c r="H244" s="96" t="s">
        <v>211</v>
      </c>
      <c r="I244" s="45" t="s">
        <v>791</v>
      </c>
      <c r="J244" s="78">
        <v>43845</v>
      </c>
      <c r="K244" s="78">
        <v>44026</v>
      </c>
      <c r="L244" s="45">
        <v>1</v>
      </c>
      <c r="M244" s="99">
        <f t="shared" si="20"/>
        <v>77</v>
      </c>
      <c r="N244" s="99">
        <f>Tabla3[[#This Row],[NUMBER OF DAYS]]*Tabla3[[#This Row],[MAX. UNIT COST PER DAY]]</f>
        <v>77</v>
      </c>
    </row>
    <row r="245" spans="1:34" x14ac:dyDescent="0.25">
      <c r="A245" s="94" t="s">
        <v>72</v>
      </c>
      <c r="B245" s="45" t="s">
        <v>59</v>
      </c>
      <c r="C245" s="45" t="s">
        <v>789</v>
      </c>
      <c r="D245" s="75" t="s">
        <v>449</v>
      </c>
      <c r="E245" s="75" t="s">
        <v>155</v>
      </c>
      <c r="F245" s="45" t="s">
        <v>154</v>
      </c>
      <c r="G245" s="45" t="s">
        <v>47</v>
      </c>
      <c r="H245" s="96" t="s">
        <v>212</v>
      </c>
      <c r="I245" s="45" t="s">
        <v>791</v>
      </c>
      <c r="J245" s="78">
        <v>43845</v>
      </c>
      <c r="K245" s="78">
        <v>44026</v>
      </c>
      <c r="L245" s="45">
        <v>2</v>
      </c>
      <c r="M245" s="99">
        <f t="shared" si="20"/>
        <v>77</v>
      </c>
      <c r="N245" s="99">
        <f>Tabla3[[#This Row],[NUMBER OF DAYS]]*Tabla3[[#This Row],[MAX. UNIT COST PER DAY]]</f>
        <v>154</v>
      </c>
    </row>
    <row r="246" spans="1:34" x14ac:dyDescent="0.25">
      <c r="A246" s="94" t="s">
        <v>74</v>
      </c>
      <c r="B246" s="45" t="s">
        <v>59</v>
      </c>
      <c r="C246" s="45" t="s">
        <v>789</v>
      </c>
      <c r="D246" s="75" t="s">
        <v>449</v>
      </c>
      <c r="E246" s="75" t="s">
        <v>157</v>
      </c>
      <c r="F246" s="45" t="s">
        <v>156</v>
      </c>
      <c r="G246" s="45" t="s">
        <v>229</v>
      </c>
      <c r="H246" s="96" t="s">
        <v>210</v>
      </c>
      <c r="I246" s="45" t="s">
        <v>158</v>
      </c>
      <c r="J246" s="78">
        <v>43845</v>
      </c>
      <c r="K246" s="78">
        <v>44026</v>
      </c>
      <c r="L246" s="45">
        <v>6</v>
      </c>
      <c r="M246" s="99">
        <f t="shared" si="20"/>
        <v>32</v>
      </c>
      <c r="N246" s="99">
        <f>Tabla3[[#This Row],[NUMBER OF DAYS]]*Tabla3[[#This Row],[MAX. UNIT COST PER DAY]]</f>
        <v>192</v>
      </c>
    </row>
    <row r="247" spans="1:34" x14ac:dyDescent="0.25">
      <c r="A247" s="94" t="s">
        <v>72</v>
      </c>
      <c r="B247" s="45" t="s">
        <v>59</v>
      </c>
      <c r="C247" s="45" t="s">
        <v>789</v>
      </c>
      <c r="D247" s="75" t="s">
        <v>449</v>
      </c>
      <c r="E247" s="75" t="s">
        <v>157</v>
      </c>
      <c r="F247" s="45" t="s">
        <v>156</v>
      </c>
      <c r="G247" s="45" t="s">
        <v>229</v>
      </c>
      <c r="H247" s="96" t="s">
        <v>212</v>
      </c>
      <c r="I247" s="45" t="s">
        <v>158</v>
      </c>
      <c r="J247" s="78">
        <v>43845</v>
      </c>
      <c r="K247" s="78">
        <v>44026</v>
      </c>
      <c r="L247" s="45">
        <v>2</v>
      </c>
      <c r="M247" s="99">
        <f t="shared" si="20"/>
        <v>32</v>
      </c>
      <c r="N247" s="99">
        <f>Tabla3[[#This Row],[NUMBER OF DAYS]]*Tabla3[[#This Row],[MAX. UNIT COST PER DAY]]</f>
        <v>64</v>
      </c>
    </row>
    <row r="248" spans="1:34" x14ac:dyDescent="0.25">
      <c r="A248" s="94" t="s">
        <v>23</v>
      </c>
      <c r="B248" s="45" t="s">
        <v>59</v>
      </c>
      <c r="C248" s="45" t="s">
        <v>789</v>
      </c>
      <c r="D248" s="75" t="s">
        <v>449</v>
      </c>
      <c r="E248" s="75" t="s">
        <v>160</v>
      </c>
      <c r="F248" s="45" t="s">
        <v>159</v>
      </c>
      <c r="G248" s="45" t="s">
        <v>47</v>
      </c>
      <c r="H248" s="96" t="s">
        <v>211</v>
      </c>
      <c r="I248" s="45" t="s">
        <v>161</v>
      </c>
      <c r="J248" s="78">
        <v>43845</v>
      </c>
      <c r="K248" s="78">
        <v>44026</v>
      </c>
      <c r="L248" s="45">
        <v>2</v>
      </c>
      <c r="M248" s="99">
        <f t="shared" si="20"/>
        <v>77</v>
      </c>
      <c r="N248" s="99">
        <f>Tabla3[[#This Row],[NUMBER OF DAYS]]*Tabla3[[#This Row],[MAX. UNIT COST PER DAY]]</f>
        <v>154</v>
      </c>
    </row>
    <row r="249" spans="1:34" x14ac:dyDescent="0.25">
      <c r="A249" s="94" t="s">
        <v>74</v>
      </c>
      <c r="B249" s="45" t="s">
        <v>59</v>
      </c>
      <c r="C249" s="45" t="s">
        <v>789</v>
      </c>
      <c r="D249" s="75" t="s">
        <v>449</v>
      </c>
      <c r="E249" s="75" t="s">
        <v>160</v>
      </c>
      <c r="F249" s="45" t="s">
        <v>159</v>
      </c>
      <c r="G249" s="45" t="s">
        <v>47</v>
      </c>
      <c r="H249" s="96" t="s">
        <v>210</v>
      </c>
      <c r="I249" s="45" t="s">
        <v>161</v>
      </c>
      <c r="J249" s="78">
        <v>43845</v>
      </c>
      <c r="K249" s="78">
        <v>44026</v>
      </c>
      <c r="L249" s="45">
        <v>2</v>
      </c>
      <c r="M249" s="99">
        <f t="shared" si="20"/>
        <v>77</v>
      </c>
      <c r="N249" s="99">
        <f>Tabla3[[#This Row],[NUMBER OF DAYS]]*Tabla3[[#This Row],[MAX. UNIT COST PER DAY]]</f>
        <v>154</v>
      </c>
    </row>
    <row r="250" spans="1:34" x14ac:dyDescent="0.25">
      <c r="A250" s="94" t="s">
        <v>24</v>
      </c>
      <c r="B250" s="45" t="s">
        <v>59</v>
      </c>
      <c r="C250" s="45" t="s">
        <v>789</v>
      </c>
      <c r="D250" s="75" t="s">
        <v>449</v>
      </c>
      <c r="E250" s="75" t="s">
        <v>160</v>
      </c>
      <c r="F250" s="45" t="s">
        <v>159</v>
      </c>
      <c r="G250" s="45" t="s">
        <v>47</v>
      </c>
      <c r="H250" s="96" t="s">
        <v>225</v>
      </c>
      <c r="I250" s="45" t="s">
        <v>161</v>
      </c>
      <c r="J250" s="78">
        <v>43845</v>
      </c>
      <c r="K250" s="78">
        <v>44026</v>
      </c>
      <c r="L250" s="45">
        <v>2</v>
      </c>
      <c r="M250" s="99">
        <f t="shared" si="20"/>
        <v>77</v>
      </c>
      <c r="N250" s="99">
        <f>Tabla3[[#This Row],[NUMBER OF DAYS]]*Tabla3[[#This Row],[MAX. UNIT COST PER DAY]]</f>
        <v>154</v>
      </c>
    </row>
    <row r="251" spans="1:34" x14ac:dyDescent="0.25">
      <c r="A251" s="94" t="s">
        <v>24</v>
      </c>
      <c r="B251" s="45" t="s">
        <v>59</v>
      </c>
      <c r="C251" s="45" t="s">
        <v>789</v>
      </c>
      <c r="D251" s="75" t="s">
        <v>449</v>
      </c>
      <c r="E251" s="75" t="s">
        <v>163</v>
      </c>
      <c r="F251" s="45" t="s">
        <v>162</v>
      </c>
      <c r="G251" s="45" t="s">
        <v>48</v>
      </c>
      <c r="H251" s="96" t="s">
        <v>225</v>
      </c>
      <c r="I251" s="45" t="s">
        <v>164</v>
      </c>
      <c r="J251" s="78">
        <v>43845</v>
      </c>
      <c r="K251" s="78">
        <v>44026</v>
      </c>
      <c r="L251" s="45">
        <v>5</v>
      </c>
      <c r="M251" s="99">
        <f t="shared" si="20"/>
        <v>57</v>
      </c>
      <c r="N251" s="99">
        <f>Tabla3[[#This Row],[NUMBER OF DAYS]]*Tabla3[[#This Row],[MAX. UNIT COST PER DAY]]</f>
        <v>285</v>
      </c>
    </row>
    <row r="252" spans="1:34" x14ac:dyDescent="0.25">
      <c r="A252" s="94" t="s">
        <v>23</v>
      </c>
      <c r="B252" s="45" t="s">
        <v>59</v>
      </c>
      <c r="C252" s="45" t="s">
        <v>789</v>
      </c>
      <c r="D252" s="75" t="s">
        <v>449</v>
      </c>
      <c r="E252" s="75" t="s">
        <v>166</v>
      </c>
      <c r="F252" s="45" t="s">
        <v>165</v>
      </c>
      <c r="G252" s="45" t="s">
        <v>47</v>
      </c>
      <c r="H252" s="96" t="s">
        <v>211</v>
      </c>
      <c r="I252" s="90" t="s">
        <v>173</v>
      </c>
      <c r="J252" s="78">
        <v>43845</v>
      </c>
      <c r="K252" s="78">
        <v>44026</v>
      </c>
      <c r="L252" s="45">
        <v>2</v>
      </c>
      <c r="M252" s="99">
        <f t="shared" si="20"/>
        <v>77</v>
      </c>
      <c r="N252" s="99">
        <f>Tabla3[[#This Row],[NUMBER OF DAYS]]*Tabla3[[#This Row],[MAX. UNIT COST PER DAY]]</f>
        <v>154</v>
      </c>
    </row>
    <row r="253" spans="1:34" x14ac:dyDescent="0.25">
      <c r="A253" s="94" t="s">
        <v>74</v>
      </c>
      <c r="B253" s="45" t="s">
        <v>59</v>
      </c>
      <c r="C253" s="45" t="s">
        <v>789</v>
      </c>
      <c r="D253" s="75" t="s">
        <v>449</v>
      </c>
      <c r="E253" s="75" t="s">
        <v>166</v>
      </c>
      <c r="F253" s="45" t="s">
        <v>165</v>
      </c>
      <c r="G253" s="45" t="s">
        <v>47</v>
      </c>
      <c r="H253" s="96" t="s">
        <v>210</v>
      </c>
      <c r="I253" s="90" t="s">
        <v>167</v>
      </c>
      <c r="J253" s="78">
        <v>43845</v>
      </c>
      <c r="K253" s="78">
        <v>44026</v>
      </c>
      <c r="L253" s="45">
        <v>3</v>
      </c>
      <c r="M253" s="99">
        <f t="shared" si="20"/>
        <v>77</v>
      </c>
      <c r="N253" s="99">
        <f>Tabla3[[#This Row],[NUMBER OF DAYS]]*Tabla3[[#This Row],[MAX. UNIT COST PER DAY]]</f>
        <v>231</v>
      </c>
    </row>
    <row r="254" spans="1:34" x14ac:dyDescent="0.25">
      <c r="A254" s="94" t="s">
        <v>72</v>
      </c>
      <c r="B254" s="45" t="s">
        <v>59</v>
      </c>
      <c r="C254" s="45" t="s">
        <v>789</v>
      </c>
      <c r="D254" s="75" t="s">
        <v>449</v>
      </c>
      <c r="E254" s="75" t="s">
        <v>166</v>
      </c>
      <c r="F254" s="45" t="s">
        <v>165</v>
      </c>
      <c r="G254" s="45" t="s">
        <v>47</v>
      </c>
      <c r="H254" s="96" t="s">
        <v>212</v>
      </c>
      <c r="I254" s="90" t="s">
        <v>167</v>
      </c>
      <c r="J254" s="78">
        <v>43845</v>
      </c>
      <c r="K254" s="78">
        <v>44026</v>
      </c>
      <c r="L254" s="45">
        <v>1</v>
      </c>
      <c r="M254" s="99">
        <f t="shared" si="20"/>
        <v>77</v>
      </c>
      <c r="N254" s="99">
        <f>Tabla3[[#This Row],[NUMBER OF DAYS]]*Tabla3[[#This Row],[MAX. UNIT COST PER DAY]]</f>
        <v>77</v>
      </c>
    </row>
    <row r="255" spans="1:34" x14ac:dyDescent="0.25">
      <c r="A255" s="94" t="s">
        <v>74</v>
      </c>
      <c r="B255" s="45" t="s">
        <v>59</v>
      </c>
      <c r="C255" s="45" t="s">
        <v>789</v>
      </c>
      <c r="D255" s="75" t="s">
        <v>449</v>
      </c>
      <c r="E255" s="75" t="s">
        <v>170</v>
      </c>
      <c r="F255" s="45" t="s">
        <v>168</v>
      </c>
      <c r="G255" s="45" t="s">
        <v>229</v>
      </c>
      <c r="H255" s="96" t="s">
        <v>210</v>
      </c>
      <c r="I255" s="90" t="s">
        <v>169</v>
      </c>
      <c r="J255" s="78">
        <v>43845</v>
      </c>
      <c r="K255" s="78">
        <v>44026</v>
      </c>
      <c r="L255" s="45">
        <v>4</v>
      </c>
      <c r="M255" s="99">
        <f t="shared" si="20"/>
        <v>32</v>
      </c>
      <c r="N255" s="99">
        <f>Tabla3[[#This Row],[NUMBER OF DAYS]]*Tabla3[[#This Row],[MAX. UNIT COST PER DAY]]</f>
        <v>128</v>
      </c>
    </row>
    <row r="256" spans="1:34" x14ac:dyDescent="0.25">
      <c r="A256" s="94" t="s">
        <v>24</v>
      </c>
      <c r="B256" s="45" t="s">
        <v>59</v>
      </c>
      <c r="C256" s="45" t="s">
        <v>789</v>
      </c>
      <c r="D256" s="75" t="s">
        <v>449</v>
      </c>
      <c r="E256" s="75" t="s">
        <v>170</v>
      </c>
      <c r="F256" s="45" t="s">
        <v>168</v>
      </c>
      <c r="G256" s="45" t="s">
        <v>229</v>
      </c>
      <c r="H256" s="96" t="s">
        <v>225</v>
      </c>
      <c r="I256" s="90" t="s">
        <v>169</v>
      </c>
      <c r="J256" s="78">
        <v>43845</v>
      </c>
      <c r="K256" s="78">
        <v>44026</v>
      </c>
      <c r="L256" s="45">
        <v>2</v>
      </c>
      <c r="M256" s="99">
        <f t="shared" si="20"/>
        <v>32</v>
      </c>
      <c r="N256" s="99">
        <f>Tabla3[[#This Row],[NUMBER OF DAYS]]*Tabla3[[#This Row],[MAX. UNIT COST PER DAY]]</f>
        <v>64</v>
      </c>
    </row>
    <row r="257" spans="1:34" x14ac:dyDescent="0.25">
      <c r="A257" s="94" t="s">
        <v>72</v>
      </c>
      <c r="B257" s="45" t="s">
        <v>59</v>
      </c>
      <c r="C257" s="45" t="s">
        <v>789</v>
      </c>
      <c r="D257" s="75" t="s">
        <v>449</v>
      </c>
      <c r="E257" s="75" t="s">
        <v>170</v>
      </c>
      <c r="F257" s="45" t="s">
        <v>168</v>
      </c>
      <c r="G257" s="45" t="s">
        <v>229</v>
      </c>
      <c r="H257" s="96" t="s">
        <v>212</v>
      </c>
      <c r="I257" s="90" t="s">
        <v>169</v>
      </c>
      <c r="J257" s="78">
        <v>43845</v>
      </c>
      <c r="K257" s="78">
        <v>44026</v>
      </c>
      <c r="L257" s="45">
        <v>2</v>
      </c>
      <c r="M257" s="99">
        <f t="shared" si="20"/>
        <v>32</v>
      </c>
      <c r="N257" s="99">
        <f>Tabla3[[#This Row],[NUMBER OF DAYS]]*Tabla3[[#This Row],[MAX. UNIT COST PER DAY]]</f>
        <v>64</v>
      </c>
    </row>
    <row r="258" spans="1:34" x14ac:dyDescent="0.25">
      <c r="A258" s="94" t="s">
        <v>24</v>
      </c>
      <c r="B258" s="45" t="s">
        <v>59</v>
      </c>
      <c r="C258" s="45" t="s">
        <v>789</v>
      </c>
      <c r="D258" s="75" t="s">
        <v>449</v>
      </c>
      <c r="E258" s="75" t="s">
        <v>174</v>
      </c>
      <c r="F258" s="45" t="s">
        <v>171</v>
      </c>
      <c r="G258" s="45" t="s">
        <v>48</v>
      </c>
      <c r="H258" s="96" t="s">
        <v>225</v>
      </c>
      <c r="I258" s="90" t="s">
        <v>172</v>
      </c>
      <c r="J258" s="78">
        <v>43845</v>
      </c>
      <c r="K258" s="78">
        <v>44026</v>
      </c>
      <c r="L258" s="45">
        <v>5</v>
      </c>
      <c r="M258" s="99">
        <f t="shared" si="20"/>
        <v>57</v>
      </c>
      <c r="N258" s="99">
        <f>Tabla3[[#This Row],[NUMBER OF DAYS]]*Tabla3[[#This Row],[MAX. UNIT COST PER DAY]]</f>
        <v>285</v>
      </c>
    </row>
    <row r="259" spans="1:34" x14ac:dyDescent="0.25">
      <c r="A259" s="94" t="s">
        <v>24</v>
      </c>
      <c r="B259" s="45" t="s">
        <v>59</v>
      </c>
      <c r="C259" s="45" t="s">
        <v>789</v>
      </c>
      <c r="D259" s="75" t="s">
        <v>449</v>
      </c>
      <c r="E259" s="75" t="s">
        <v>287</v>
      </c>
      <c r="F259" s="45" t="s">
        <v>154</v>
      </c>
      <c r="G259" s="45" t="s">
        <v>47</v>
      </c>
      <c r="H259" s="45" t="s">
        <v>225</v>
      </c>
      <c r="I259" s="181" t="s">
        <v>427</v>
      </c>
      <c r="J259" s="78">
        <v>44027</v>
      </c>
      <c r="K259" s="145">
        <v>44210</v>
      </c>
      <c r="L259" s="45">
        <v>2</v>
      </c>
      <c r="M259" s="99">
        <f t="shared" si="20"/>
        <v>77</v>
      </c>
      <c r="N259" s="99">
        <f>Tabla3[[#This Row],[NUMBER OF DAYS]]*Tabla3[[#This Row],[MAX. UNIT COST PER DAY]]</f>
        <v>154</v>
      </c>
      <c r="O259" s="162"/>
      <c r="P259" s="152"/>
      <c r="Q259" s="152"/>
      <c r="R259" s="152"/>
      <c r="S259" s="152"/>
      <c r="T259" s="152"/>
      <c r="U259" s="152"/>
      <c r="V259" s="152"/>
      <c r="W259" s="152"/>
      <c r="X259" s="152"/>
      <c r="Y259" s="152"/>
      <c r="Z259" s="152"/>
      <c r="AA259" s="152"/>
      <c r="AB259" s="152"/>
      <c r="AC259" s="152"/>
      <c r="AD259" s="152"/>
      <c r="AE259" s="152"/>
      <c r="AF259" s="152"/>
      <c r="AG259" s="152"/>
      <c r="AH259" s="152"/>
    </row>
    <row r="260" spans="1:34" x14ac:dyDescent="0.25">
      <c r="A260" s="94" t="s">
        <v>72</v>
      </c>
      <c r="B260" s="45" t="s">
        <v>59</v>
      </c>
      <c r="C260" s="45" t="s">
        <v>789</v>
      </c>
      <c r="D260" s="75" t="s">
        <v>449</v>
      </c>
      <c r="E260" s="75" t="s">
        <v>287</v>
      </c>
      <c r="F260" s="45" t="s">
        <v>154</v>
      </c>
      <c r="G260" s="45" t="s">
        <v>47</v>
      </c>
      <c r="H260" s="45" t="s">
        <v>212</v>
      </c>
      <c r="I260" s="181" t="s">
        <v>285</v>
      </c>
      <c r="J260" s="78">
        <v>44027</v>
      </c>
      <c r="K260" s="145">
        <v>44210</v>
      </c>
      <c r="L260" s="45">
        <v>2</v>
      </c>
      <c r="M260" s="99">
        <f t="shared" si="20"/>
        <v>77</v>
      </c>
      <c r="N260" s="99">
        <f>Tabla3[[#This Row],[NUMBER OF DAYS]]*Tabla3[[#This Row],[MAX. UNIT COST PER DAY]]</f>
        <v>154</v>
      </c>
      <c r="O260" s="162"/>
      <c r="P260" s="152"/>
      <c r="Q260" s="152"/>
      <c r="R260" s="152"/>
      <c r="S260" s="152"/>
      <c r="T260" s="152"/>
      <c r="U260" s="152"/>
      <c r="V260" s="152"/>
      <c r="W260" s="152"/>
      <c r="X260" s="152"/>
      <c r="Y260" s="152"/>
      <c r="Z260" s="152"/>
      <c r="AA260" s="152"/>
      <c r="AB260" s="152"/>
      <c r="AC260" s="152"/>
      <c r="AD260" s="152"/>
      <c r="AE260" s="152"/>
      <c r="AF260" s="152"/>
      <c r="AG260" s="152"/>
      <c r="AH260" s="152"/>
    </row>
    <row r="261" spans="1:34" x14ac:dyDescent="0.25">
      <c r="A261" s="94" t="s">
        <v>74</v>
      </c>
      <c r="B261" s="45" t="s">
        <v>59</v>
      </c>
      <c r="C261" s="45" t="s">
        <v>789</v>
      </c>
      <c r="D261" s="75" t="s">
        <v>449</v>
      </c>
      <c r="E261" s="75" t="s">
        <v>287</v>
      </c>
      <c r="F261" s="45" t="s">
        <v>154</v>
      </c>
      <c r="G261" s="45" t="s">
        <v>47</v>
      </c>
      <c r="H261" s="45" t="s">
        <v>210</v>
      </c>
      <c r="I261" s="181" t="s">
        <v>286</v>
      </c>
      <c r="J261" s="78">
        <v>44027</v>
      </c>
      <c r="K261" s="145">
        <v>44210</v>
      </c>
      <c r="L261" s="45">
        <v>1</v>
      </c>
      <c r="M261" s="99">
        <f t="shared" si="20"/>
        <v>77</v>
      </c>
      <c r="N261" s="99">
        <f>Tabla3[[#This Row],[NUMBER OF DAYS]]*Tabla3[[#This Row],[MAX. UNIT COST PER DAY]]</f>
        <v>77</v>
      </c>
      <c r="O261" s="162"/>
      <c r="P261" s="152"/>
      <c r="Q261" s="152"/>
      <c r="R261" s="152"/>
      <c r="S261" s="152"/>
      <c r="T261" s="152"/>
      <c r="U261" s="152"/>
      <c r="V261" s="152"/>
      <c r="W261" s="152"/>
      <c r="X261" s="152"/>
      <c r="Y261" s="152"/>
      <c r="Z261" s="152"/>
      <c r="AA261" s="152"/>
      <c r="AB261" s="152"/>
      <c r="AC261" s="152"/>
      <c r="AD261" s="152"/>
      <c r="AE261" s="152"/>
      <c r="AF261" s="152"/>
      <c r="AG261" s="152"/>
      <c r="AH261" s="152"/>
    </row>
    <row r="262" spans="1:34" x14ac:dyDescent="0.25">
      <c r="A262" s="94" t="s">
        <v>24</v>
      </c>
      <c r="B262" s="45" t="s">
        <v>59</v>
      </c>
      <c r="C262" s="45" t="s">
        <v>789</v>
      </c>
      <c r="D262" s="75" t="s">
        <v>449</v>
      </c>
      <c r="E262" s="75" t="s">
        <v>289</v>
      </c>
      <c r="F262" s="45" t="s">
        <v>156</v>
      </c>
      <c r="G262" s="45" t="s">
        <v>229</v>
      </c>
      <c r="H262" s="45" t="s">
        <v>225</v>
      </c>
      <c r="I262" s="181" t="s">
        <v>428</v>
      </c>
      <c r="J262" s="78">
        <v>44027</v>
      </c>
      <c r="K262" s="145">
        <v>44210</v>
      </c>
      <c r="L262" s="45">
        <v>2</v>
      </c>
      <c r="M262" s="99">
        <f t="shared" si="20"/>
        <v>32</v>
      </c>
      <c r="N262" s="99">
        <f>Tabla3[[#This Row],[NUMBER OF DAYS]]*Tabla3[[#This Row],[MAX. UNIT COST PER DAY]]</f>
        <v>64</v>
      </c>
      <c r="O262" s="162"/>
      <c r="P262" s="152"/>
      <c r="Q262" s="152"/>
      <c r="R262" s="152"/>
      <c r="S262" s="152"/>
      <c r="T262" s="152"/>
      <c r="U262" s="152"/>
      <c r="V262" s="152"/>
      <c r="W262" s="152"/>
      <c r="X262" s="152"/>
      <c r="Y262" s="152"/>
      <c r="Z262" s="152"/>
      <c r="AA262" s="152"/>
      <c r="AB262" s="152"/>
      <c r="AC262" s="152"/>
      <c r="AD262" s="152"/>
      <c r="AE262" s="152"/>
      <c r="AF262" s="152"/>
      <c r="AG262" s="152"/>
      <c r="AH262" s="152"/>
    </row>
    <row r="263" spans="1:34" x14ac:dyDescent="0.25">
      <c r="A263" s="94" t="s">
        <v>73</v>
      </c>
      <c r="B263" s="45" t="s">
        <v>59</v>
      </c>
      <c r="C263" s="45" t="s">
        <v>789</v>
      </c>
      <c r="D263" s="75" t="s">
        <v>449</v>
      </c>
      <c r="E263" s="75" t="s">
        <v>289</v>
      </c>
      <c r="F263" s="45" t="s">
        <v>156</v>
      </c>
      <c r="G263" s="45" t="s">
        <v>229</v>
      </c>
      <c r="H263" s="45" t="s">
        <v>213</v>
      </c>
      <c r="I263" s="181" t="s">
        <v>288</v>
      </c>
      <c r="J263" s="78">
        <v>44027</v>
      </c>
      <c r="K263" s="145">
        <v>44210</v>
      </c>
      <c r="L263" s="45">
        <v>3</v>
      </c>
      <c r="M263" s="99">
        <f t="shared" si="20"/>
        <v>32</v>
      </c>
      <c r="N263" s="99">
        <f>Tabla3[[#This Row],[NUMBER OF DAYS]]*Tabla3[[#This Row],[MAX. UNIT COST PER DAY]]</f>
        <v>96</v>
      </c>
      <c r="O263" s="162"/>
      <c r="P263" s="152"/>
      <c r="Q263" s="152"/>
      <c r="R263" s="152"/>
      <c r="S263" s="152"/>
      <c r="T263" s="152"/>
      <c r="U263" s="152"/>
      <c r="V263" s="152"/>
      <c r="W263" s="152"/>
      <c r="X263" s="152"/>
      <c r="Y263" s="152"/>
      <c r="Z263" s="152"/>
      <c r="AA263" s="152"/>
      <c r="AB263" s="152"/>
      <c r="AC263" s="152"/>
      <c r="AD263" s="152"/>
      <c r="AE263" s="152"/>
      <c r="AF263" s="152"/>
      <c r="AG263" s="152"/>
      <c r="AH263" s="152"/>
    </row>
    <row r="264" spans="1:34" x14ac:dyDescent="0.25">
      <c r="A264" s="94" t="s">
        <v>74</v>
      </c>
      <c r="B264" s="45" t="s">
        <v>59</v>
      </c>
      <c r="C264" s="45" t="s">
        <v>789</v>
      </c>
      <c r="D264" s="75" t="s">
        <v>449</v>
      </c>
      <c r="E264" s="75" t="s">
        <v>289</v>
      </c>
      <c r="F264" s="45" t="s">
        <v>156</v>
      </c>
      <c r="G264" s="45" t="s">
        <v>229</v>
      </c>
      <c r="H264" s="45" t="s">
        <v>210</v>
      </c>
      <c r="I264" s="181" t="s">
        <v>429</v>
      </c>
      <c r="J264" s="78">
        <v>44027</v>
      </c>
      <c r="K264" s="145">
        <v>44210</v>
      </c>
      <c r="L264" s="45">
        <v>3</v>
      </c>
      <c r="M264" s="99">
        <f t="shared" si="20"/>
        <v>32</v>
      </c>
      <c r="N264" s="99">
        <f>Tabla3[[#This Row],[NUMBER OF DAYS]]*Tabla3[[#This Row],[MAX. UNIT COST PER DAY]]</f>
        <v>96</v>
      </c>
      <c r="O264" s="162"/>
      <c r="P264" s="152"/>
      <c r="Q264" s="152"/>
      <c r="R264" s="152"/>
      <c r="S264" s="152"/>
      <c r="T264" s="152"/>
      <c r="U264" s="152"/>
      <c r="V264" s="152"/>
      <c r="W264" s="152"/>
      <c r="X264" s="152"/>
      <c r="Y264" s="152"/>
      <c r="Z264" s="152"/>
      <c r="AA264" s="152"/>
      <c r="AB264" s="152"/>
      <c r="AC264" s="152"/>
      <c r="AD264" s="152"/>
      <c r="AE264" s="152"/>
      <c r="AF264" s="152"/>
      <c r="AG264" s="152"/>
      <c r="AH264" s="152"/>
    </row>
    <row r="265" spans="1:34" x14ac:dyDescent="0.25">
      <c r="A265" s="94" t="s">
        <v>24</v>
      </c>
      <c r="B265" s="45" t="s">
        <v>59</v>
      </c>
      <c r="C265" s="45" t="s">
        <v>789</v>
      </c>
      <c r="D265" s="75" t="s">
        <v>449</v>
      </c>
      <c r="E265" s="75" t="s">
        <v>291</v>
      </c>
      <c r="F265" s="45" t="s">
        <v>159</v>
      </c>
      <c r="G265" s="45" t="s">
        <v>47</v>
      </c>
      <c r="H265" s="45" t="s">
        <v>225</v>
      </c>
      <c r="I265" s="181" t="s">
        <v>430</v>
      </c>
      <c r="J265" s="78">
        <v>44027</v>
      </c>
      <c r="K265" s="145">
        <v>44210</v>
      </c>
      <c r="L265" s="45">
        <v>2</v>
      </c>
      <c r="M265" s="99">
        <f t="shared" si="20"/>
        <v>77</v>
      </c>
      <c r="N265" s="99">
        <f>Tabla3[[#This Row],[NUMBER OF DAYS]]*Tabla3[[#This Row],[MAX. UNIT COST PER DAY]]</f>
        <v>154</v>
      </c>
      <c r="O265" s="162"/>
      <c r="P265" s="152"/>
      <c r="Q265" s="152"/>
      <c r="R265" s="152"/>
      <c r="S265" s="152"/>
      <c r="T265" s="152"/>
      <c r="U265" s="152"/>
      <c r="V265" s="152"/>
      <c r="W265" s="152"/>
      <c r="X265" s="152"/>
      <c r="Y265" s="152"/>
      <c r="Z265" s="152"/>
      <c r="AA265" s="152"/>
      <c r="AB265" s="152"/>
      <c r="AC265" s="152"/>
      <c r="AD265" s="152"/>
      <c r="AE265" s="152"/>
      <c r="AF265" s="152"/>
      <c r="AG265" s="152"/>
      <c r="AH265" s="152"/>
    </row>
    <row r="266" spans="1:34" x14ac:dyDescent="0.25">
      <c r="A266" s="94" t="s">
        <v>72</v>
      </c>
      <c r="B266" s="45" t="s">
        <v>59</v>
      </c>
      <c r="C266" s="45" t="s">
        <v>789</v>
      </c>
      <c r="D266" s="75" t="s">
        <v>449</v>
      </c>
      <c r="E266" s="75" t="s">
        <v>291</v>
      </c>
      <c r="F266" s="45" t="s">
        <v>159</v>
      </c>
      <c r="G266" s="45" t="s">
        <v>47</v>
      </c>
      <c r="H266" s="45" t="s">
        <v>212</v>
      </c>
      <c r="I266" s="181" t="s">
        <v>290</v>
      </c>
      <c r="J266" s="78">
        <v>44027</v>
      </c>
      <c r="K266" s="145">
        <v>44210</v>
      </c>
      <c r="L266" s="45">
        <v>1</v>
      </c>
      <c r="M266" s="99">
        <f t="shared" si="20"/>
        <v>77</v>
      </c>
      <c r="N266" s="99">
        <f>Tabla3[[#This Row],[NUMBER OF DAYS]]*Tabla3[[#This Row],[MAX. UNIT COST PER DAY]]</f>
        <v>77</v>
      </c>
      <c r="O266" s="162"/>
      <c r="P266" s="152"/>
      <c r="Q266" s="152"/>
      <c r="R266" s="152"/>
      <c r="S266" s="152"/>
      <c r="T266" s="152"/>
      <c r="U266" s="152"/>
      <c r="V266" s="152"/>
      <c r="W266" s="152"/>
      <c r="X266" s="152"/>
      <c r="Y266" s="152"/>
      <c r="Z266" s="152"/>
      <c r="AA266" s="152"/>
      <c r="AB266" s="152"/>
      <c r="AC266" s="152"/>
      <c r="AD266" s="152"/>
      <c r="AE266" s="152"/>
      <c r="AF266" s="152"/>
      <c r="AG266" s="152"/>
      <c r="AH266" s="152"/>
    </row>
    <row r="267" spans="1:34" x14ac:dyDescent="0.25">
      <c r="A267" s="94" t="s">
        <v>74</v>
      </c>
      <c r="B267" s="45" t="s">
        <v>59</v>
      </c>
      <c r="C267" s="45" t="s">
        <v>789</v>
      </c>
      <c r="D267" s="75" t="s">
        <v>449</v>
      </c>
      <c r="E267" s="75" t="s">
        <v>291</v>
      </c>
      <c r="F267" s="45" t="s">
        <v>159</v>
      </c>
      <c r="G267" s="45" t="s">
        <v>47</v>
      </c>
      <c r="H267" s="45" t="s">
        <v>213</v>
      </c>
      <c r="I267" s="181" t="s">
        <v>431</v>
      </c>
      <c r="J267" s="78">
        <v>44027</v>
      </c>
      <c r="K267" s="145">
        <v>44210</v>
      </c>
      <c r="L267" s="45">
        <v>2</v>
      </c>
      <c r="M267" s="99">
        <f t="shared" si="20"/>
        <v>77</v>
      </c>
      <c r="N267" s="99">
        <f>Tabla3[[#This Row],[NUMBER OF DAYS]]*Tabla3[[#This Row],[MAX. UNIT COST PER DAY]]</f>
        <v>154</v>
      </c>
      <c r="O267" s="162"/>
      <c r="P267" s="152"/>
      <c r="Q267" s="152"/>
      <c r="R267" s="152"/>
      <c r="S267" s="152"/>
      <c r="T267" s="152"/>
      <c r="U267" s="152"/>
      <c r="V267" s="152"/>
      <c r="W267" s="152"/>
      <c r="X267" s="152"/>
      <c r="Y267" s="152"/>
      <c r="Z267" s="152"/>
      <c r="AA267" s="152"/>
      <c r="AB267" s="152"/>
      <c r="AC267" s="152"/>
      <c r="AD267" s="152"/>
      <c r="AE267" s="152"/>
      <c r="AF267" s="152"/>
      <c r="AG267" s="152"/>
      <c r="AH267" s="152"/>
    </row>
    <row r="268" spans="1:34" x14ac:dyDescent="0.25">
      <c r="A268" s="94" t="s">
        <v>24</v>
      </c>
      <c r="B268" s="45" t="s">
        <v>59</v>
      </c>
      <c r="C268" s="45" t="s">
        <v>789</v>
      </c>
      <c r="D268" s="75" t="s">
        <v>449</v>
      </c>
      <c r="E268" s="75" t="s">
        <v>292</v>
      </c>
      <c r="F268" s="45" t="s">
        <v>162</v>
      </c>
      <c r="G268" s="45" t="s">
        <v>48</v>
      </c>
      <c r="H268" s="45" t="s">
        <v>225</v>
      </c>
      <c r="I268" s="179" t="s">
        <v>432</v>
      </c>
      <c r="J268" s="78">
        <v>44027</v>
      </c>
      <c r="K268" s="145">
        <v>44210</v>
      </c>
      <c r="L268" s="45">
        <v>5</v>
      </c>
      <c r="M268" s="99">
        <f t="shared" si="20"/>
        <v>57</v>
      </c>
      <c r="N268" s="99">
        <f>Tabla3[[#This Row],[NUMBER OF DAYS]]*Tabla3[[#This Row],[MAX. UNIT COST PER DAY]]</f>
        <v>285</v>
      </c>
      <c r="O268" s="162"/>
      <c r="P268" s="152"/>
      <c r="Q268" s="152"/>
      <c r="R268" s="152"/>
      <c r="S268" s="152"/>
      <c r="T268" s="152"/>
      <c r="U268" s="152"/>
      <c r="V268" s="152"/>
      <c r="W268" s="152"/>
      <c r="X268" s="152"/>
      <c r="Y268" s="152"/>
      <c r="Z268" s="152"/>
      <c r="AA268" s="152"/>
      <c r="AB268" s="152"/>
      <c r="AC268" s="152"/>
      <c r="AD268" s="152"/>
      <c r="AE268" s="152"/>
      <c r="AF268" s="152"/>
      <c r="AG268" s="152"/>
      <c r="AH268" s="152"/>
    </row>
    <row r="269" spans="1:34" x14ac:dyDescent="0.25">
      <c r="A269" s="94" t="s">
        <v>24</v>
      </c>
      <c r="B269" s="45" t="s">
        <v>59</v>
      </c>
      <c r="C269" s="45" t="s">
        <v>789</v>
      </c>
      <c r="D269" s="75" t="s">
        <v>449</v>
      </c>
      <c r="E269" s="75" t="s">
        <v>293</v>
      </c>
      <c r="F269" s="45" t="s">
        <v>165</v>
      </c>
      <c r="G269" s="45" t="s">
        <v>47</v>
      </c>
      <c r="H269" s="45" t="s">
        <v>225</v>
      </c>
      <c r="I269" s="181" t="s">
        <v>433</v>
      </c>
      <c r="J269" s="78">
        <v>44027</v>
      </c>
      <c r="K269" s="145">
        <v>44210</v>
      </c>
      <c r="L269" s="45">
        <v>2</v>
      </c>
      <c r="M269" s="99">
        <f t="shared" si="20"/>
        <v>77</v>
      </c>
      <c r="N269" s="99">
        <f>Tabla3[[#This Row],[NUMBER OF DAYS]]*Tabla3[[#This Row],[MAX. UNIT COST PER DAY]]</f>
        <v>154</v>
      </c>
      <c r="O269" s="162"/>
      <c r="P269" s="152"/>
      <c r="Q269" s="152"/>
      <c r="R269" s="152"/>
      <c r="S269" s="152"/>
      <c r="T269" s="152"/>
      <c r="U269" s="152"/>
      <c r="V269" s="152"/>
      <c r="W269" s="152"/>
      <c r="X269" s="152"/>
      <c r="Y269" s="152"/>
      <c r="Z269" s="152"/>
      <c r="AA269" s="152"/>
      <c r="AB269" s="152"/>
      <c r="AC269" s="152"/>
      <c r="AD269" s="152"/>
      <c r="AE269" s="152"/>
      <c r="AF269" s="152"/>
      <c r="AG269" s="152"/>
      <c r="AH269" s="152"/>
    </row>
    <row r="270" spans="1:34" x14ac:dyDescent="0.25">
      <c r="A270" s="94" t="s">
        <v>72</v>
      </c>
      <c r="B270" s="45" t="s">
        <v>59</v>
      </c>
      <c r="C270" s="45" t="s">
        <v>789</v>
      </c>
      <c r="D270" s="75" t="s">
        <v>449</v>
      </c>
      <c r="E270" s="75" t="s">
        <v>293</v>
      </c>
      <c r="F270" s="45" t="s">
        <v>165</v>
      </c>
      <c r="G270" s="45" t="s">
        <v>47</v>
      </c>
      <c r="H270" s="45" t="s">
        <v>212</v>
      </c>
      <c r="I270" s="181" t="s">
        <v>434</v>
      </c>
      <c r="J270" s="78">
        <v>44027</v>
      </c>
      <c r="K270" s="145">
        <v>44210</v>
      </c>
      <c r="L270" s="45">
        <v>1</v>
      </c>
      <c r="M270" s="99">
        <f t="shared" si="20"/>
        <v>77</v>
      </c>
      <c r="N270" s="99">
        <f>Tabla3[[#This Row],[NUMBER OF DAYS]]*Tabla3[[#This Row],[MAX. UNIT COST PER DAY]]</f>
        <v>77</v>
      </c>
      <c r="O270" s="162"/>
      <c r="P270" s="152"/>
      <c r="Q270" s="152"/>
      <c r="R270" s="152"/>
      <c r="S270" s="152"/>
      <c r="T270" s="152"/>
      <c r="U270" s="152"/>
      <c r="V270" s="152"/>
      <c r="W270" s="152"/>
      <c r="X270" s="152"/>
      <c r="Y270" s="152"/>
      <c r="Z270" s="152"/>
      <c r="AA270" s="152"/>
      <c r="AB270" s="152"/>
      <c r="AC270" s="152"/>
      <c r="AD270" s="152"/>
      <c r="AE270" s="152"/>
      <c r="AF270" s="152"/>
      <c r="AG270" s="152"/>
      <c r="AH270" s="152"/>
    </row>
    <row r="271" spans="1:34" x14ac:dyDescent="0.25">
      <c r="A271" s="94" t="s">
        <v>74</v>
      </c>
      <c r="B271" s="45" t="s">
        <v>59</v>
      </c>
      <c r="C271" s="45" t="s">
        <v>789</v>
      </c>
      <c r="D271" s="75" t="s">
        <v>449</v>
      </c>
      <c r="E271" s="75" t="s">
        <v>293</v>
      </c>
      <c r="F271" s="45" t="s">
        <v>165</v>
      </c>
      <c r="G271" s="45" t="s">
        <v>47</v>
      </c>
      <c r="H271" s="45" t="s">
        <v>210</v>
      </c>
      <c r="I271" s="181" t="s">
        <v>435</v>
      </c>
      <c r="J271" s="78">
        <v>44027</v>
      </c>
      <c r="K271" s="145">
        <v>44210</v>
      </c>
      <c r="L271" s="45">
        <v>2</v>
      </c>
      <c r="M271" s="99">
        <f t="shared" si="20"/>
        <v>77</v>
      </c>
      <c r="N271" s="99">
        <f>Tabla3[[#This Row],[NUMBER OF DAYS]]*Tabla3[[#This Row],[MAX. UNIT COST PER DAY]]</f>
        <v>154</v>
      </c>
      <c r="O271" s="162"/>
      <c r="P271" s="152"/>
      <c r="Q271" s="152"/>
      <c r="R271" s="152"/>
      <c r="S271" s="152"/>
      <c r="T271" s="152"/>
      <c r="U271" s="152"/>
      <c r="V271" s="152"/>
      <c r="W271" s="152"/>
      <c r="X271" s="152"/>
      <c r="Y271" s="152"/>
      <c r="Z271" s="152"/>
      <c r="AA271" s="152"/>
      <c r="AB271" s="152"/>
      <c r="AC271" s="152"/>
      <c r="AD271" s="152"/>
      <c r="AE271" s="152"/>
      <c r="AF271" s="152"/>
      <c r="AG271" s="152"/>
      <c r="AH271" s="152"/>
    </row>
    <row r="272" spans="1:34" x14ac:dyDescent="0.25">
      <c r="A272" s="94" t="s">
        <v>24</v>
      </c>
      <c r="B272" s="45" t="s">
        <v>59</v>
      </c>
      <c r="C272" s="45" t="s">
        <v>789</v>
      </c>
      <c r="D272" s="75" t="s">
        <v>449</v>
      </c>
      <c r="E272" s="75" t="s">
        <v>294</v>
      </c>
      <c r="F272" s="45" t="s">
        <v>168</v>
      </c>
      <c r="G272" s="45" t="s">
        <v>229</v>
      </c>
      <c r="H272" s="45" t="s">
        <v>225</v>
      </c>
      <c r="I272" s="181" t="s">
        <v>436</v>
      </c>
      <c r="J272" s="78">
        <v>44027</v>
      </c>
      <c r="K272" s="145">
        <v>44210</v>
      </c>
      <c r="L272" s="45">
        <v>5</v>
      </c>
      <c r="M272" s="99">
        <f t="shared" si="20"/>
        <v>32</v>
      </c>
      <c r="N272" s="99">
        <f>Tabla3[[#This Row],[NUMBER OF DAYS]]*Tabla3[[#This Row],[MAX. UNIT COST PER DAY]]</f>
        <v>160</v>
      </c>
      <c r="O272" s="162"/>
      <c r="P272" s="152"/>
      <c r="Q272" s="152"/>
      <c r="R272" s="152"/>
      <c r="S272" s="152"/>
      <c r="T272" s="152"/>
      <c r="U272" s="152"/>
      <c r="V272" s="152"/>
      <c r="W272" s="152"/>
      <c r="X272" s="152"/>
      <c r="Y272" s="152"/>
      <c r="Z272" s="152"/>
      <c r="AA272" s="152"/>
      <c r="AB272" s="152"/>
      <c r="AC272" s="152"/>
      <c r="AD272" s="152"/>
      <c r="AE272" s="152"/>
      <c r="AF272" s="152"/>
      <c r="AG272" s="152"/>
      <c r="AH272" s="152"/>
    </row>
    <row r="273" spans="1:34" x14ac:dyDescent="0.25">
      <c r="A273" s="94" t="s">
        <v>72</v>
      </c>
      <c r="B273" s="45" t="s">
        <v>59</v>
      </c>
      <c r="C273" s="45" t="s">
        <v>789</v>
      </c>
      <c r="D273" s="75" t="s">
        <v>449</v>
      </c>
      <c r="E273" s="75" t="s">
        <v>294</v>
      </c>
      <c r="F273" s="45" t="s">
        <v>168</v>
      </c>
      <c r="G273" s="45" t="s">
        <v>229</v>
      </c>
      <c r="H273" s="45" t="s">
        <v>212</v>
      </c>
      <c r="I273" s="181" t="s">
        <v>437</v>
      </c>
      <c r="J273" s="78">
        <v>44027</v>
      </c>
      <c r="K273" s="145">
        <v>44210</v>
      </c>
      <c r="L273" s="45">
        <v>1</v>
      </c>
      <c r="M273" s="99">
        <f t="shared" si="20"/>
        <v>32</v>
      </c>
      <c r="N273" s="99">
        <f>Tabla3[[#This Row],[NUMBER OF DAYS]]*Tabla3[[#This Row],[MAX. UNIT COST PER DAY]]</f>
        <v>32</v>
      </c>
      <c r="O273" s="162"/>
      <c r="P273" s="168"/>
      <c r="Q273" s="168"/>
      <c r="R273" s="168"/>
      <c r="S273" s="168"/>
      <c r="T273" s="168"/>
      <c r="U273" s="168"/>
      <c r="V273" s="168"/>
      <c r="W273" s="168"/>
      <c r="X273" s="168"/>
      <c r="Y273" s="168"/>
      <c r="Z273" s="168"/>
      <c r="AA273" s="168"/>
      <c r="AB273" s="168"/>
      <c r="AC273" s="168"/>
      <c r="AD273" s="168"/>
      <c r="AE273" s="168"/>
      <c r="AF273" s="168"/>
      <c r="AG273" s="168"/>
      <c r="AH273" s="168"/>
    </row>
    <row r="274" spans="1:34" x14ac:dyDescent="0.25">
      <c r="A274" s="94" t="s">
        <v>74</v>
      </c>
      <c r="B274" s="45" t="s">
        <v>59</v>
      </c>
      <c r="C274" s="45" t="s">
        <v>789</v>
      </c>
      <c r="D274" s="75" t="s">
        <v>449</v>
      </c>
      <c r="E274" s="75" t="s">
        <v>294</v>
      </c>
      <c r="F274" s="45" t="s">
        <v>168</v>
      </c>
      <c r="G274" s="45" t="s">
        <v>229</v>
      </c>
      <c r="H274" s="45" t="s">
        <v>210</v>
      </c>
      <c r="I274" s="181" t="s">
        <v>438</v>
      </c>
      <c r="J274" s="78">
        <v>44027</v>
      </c>
      <c r="K274" s="145">
        <v>44210</v>
      </c>
      <c r="L274" s="45">
        <v>2</v>
      </c>
      <c r="M274" s="99">
        <f t="shared" si="20"/>
        <v>32</v>
      </c>
      <c r="N274" s="99">
        <f>Tabla3[[#This Row],[NUMBER OF DAYS]]*Tabla3[[#This Row],[MAX. UNIT COST PER DAY]]</f>
        <v>64</v>
      </c>
      <c r="O274" s="162"/>
      <c r="P274" s="152"/>
      <c r="Q274" s="152"/>
      <c r="R274" s="152"/>
      <c r="S274" s="152"/>
      <c r="T274" s="152"/>
      <c r="U274" s="152"/>
      <c r="V274" s="152"/>
      <c r="W274" s="152"/>
      <c r="X274" s="152"/>
      <c r="Y274" s="152"/>
      <c r="Z274" s="152"/>
      <c r="AA274" s="152"/>
      <c r="AB274" s="152"/>
      <c r="AC274" s="152"/>
      <c r="AD274" s="152"/>
      <c r="AE274" s="152"/>
      <c r="AF274" s="152"/>
      <c r="AG274" s="152"/>
      <c r="AH274" s="152"/>
    </row>
    <row r="275" spans="1:34" x14ac:dyDescent="0.25">
      <c r="A275" s="94" t="s">
        <v>24</v>
      </c>
      <c r="B275" s="45" t="s">
        <v>59</v>
      </c>
      <c r="C275" s="45" t="s">
        <v>789</v>
      </c>
      <c r="D275" s="75" t="s">
        <v>449</v>
      </c>
      <c r="E275" s="75" t="s">
        <v>295</v>
      </c>
      <c r="F275" s="45" t="s">
        <v>171</v>
      </c>
      <c r="G275" s="45" t="s">
        <v>48</v>
      </c>
      <c r="H275" s="45" t="s">
        <v>225</v>
      </c>
      <c r="I275" s="181" t="s">
        <v>439</v>
      </c>
      <c r="J275" s="78">
        <v>44027</v>
      </c>
      <c r="K275" s="145">
        <v>44210</v>
      </c>
      <c r="L275" s="45">
        <v>5</v>
      </c>
      <c r="M275" s="99">
        <f t="shared" ref="M275:M292" si="21">IF(AND(G275="Manager",D275="Spain"),164,IF(AND(G275="Teacher/Trainer/Researcher",D275="Spain"),137,IF(AND(G275="Technical Staff",D275="Spain"),102,IF(AND(G275="Administrative staff",D275="Spain"),78,IF(AND(G275="Manager",D275="Slovenia"),164,IF(AND(G275="Teacher/Trainer/Researcher",D275="Slovenia"),137,IF(AND(G275="Technical Staff",D275="Slovenia"),102,IF(AND(G275="Administrative staff",D275="Slovenia"),78,IF(AND(G275="Manager",D275="Italy"),280,IF(AND(G275="Teacher/Trainer/Researcher",D275="Italy"),214,IF(AND(G275="Technical Staff",D275="Italy"),162,IF(AND(G275="Administrative staff",D275="Italy"),131,IF(AND(G275="Manager",D275="Kazakhstan"),77,IF(AND(G275="Teacher/Trainer/Researcher",D275="Kazakhstan"),57,IF(AND(G275="Technical Staff",D275="Kazakhstan"),40,IF(AND(G275="Administrative staff",D275="Kazakhstan"),32,IF(AND(G275="Manager",D275="Turkmenistan"),47,IF(AND(G275="Teacher/Trainer/Researcher",D275="Turkmenistan"),33,IF(AND(G275="Technical Staff",D275="Turkmenistan"),22,IF(AND(G275="Administrative staff",D275="Turkmenistan"),17,IF(AND(G275="Manager",D275="Tajikistan"),47,IF(AND(G275="Teacher/Trainer/Researcher",D275="Tajikistan"),33,IF(AND(G275="Technical Staff",D275="Tajikistan"),22,IF(AND(G275="Administrative staff",D275="Tajikistan"),17,))))))))))))))))))))))))</f>
        <v>57</v>
      </c>
      <c r="N275" s="99">
        <f>Tabla3[[#This Row],[NUMBER OF DAYS]]*Tabla3[[#This Row],[MAX. UNIT COST PER DAY]]</f>
        <v>285</v>
      </c>
      <c r="O275" s="162"/>
      <c r="P275" s="152"/>
      <c r="Q275" s="152"/>
      <c r="R275" s="152"/>
      <c r="S275" s="152"/>
      <c r="T275" s="152"/>
      <c r="U275" s="152"/>
      <c r="V275" s="152"/>
      <c r="W275" s="152"/>
      <c r="X275" s="152"/>
      <c r="Y275" s="152"/>
      <c r="Z275" s="152"/>
      <c r="AA275" s="152"/>
      <c r="AB275" s="152"/>
      <c r="AC275" s="152"/>
      <c r="AD275" s="152"/>
      <c r="AE275" s="152"/>
      <c r="AF275" s="152"/>
      <c r="AG275" s="152"/>
      <c r="AH275" s="152"/>
    </row>
    <row r="276" spans="1:34" x14ac:dyDescent="0.25">
      <c r="A276" s="194" t="s">
        <v>74</v>
      </c>
      <c r="B276" s="45" t="s">
        <v>59</v>
      </c>
      <c r="C276" s="45" t="s">
        <v>789</v>
      </c>
      <c r="D276" s="75" t="s">
        <v>449</v>
      </c>
      <c r="E276" s="75" t="s">
        <v>480</v>
      </c>
      <c r="F276" s="45" t="s">
        <v>154</v>
      </c>
      <c r="G276" s="45" t="s">
        <v>47</v>
      </c>
      <c r="H276" s="45" t="s">
        <v>210</v>
      </c>
      <c r="I276" s="195" t="s">
        <v>286</v>
      </c>
      <c r="J276" s="196">
        <v>44211</v>
      </c>
      <c r="K276" s="196">
        <v>44391</v>
      </c>
      <c r="L276" s="192">
        <v>2</v>
      </c>
      <c r="M276" s="99">
        <f t="shared" si="21"/>
        <v>77</v>
      </c>
      <c r="N276" s="99">
        <f>Tabla3[[#This Row],[NUMBER OF DAYS]]*Tabla3[[#This Row],[MAX. UNIT COST PER DAY]]</f>
        <v>154</v>
      </c>
      <c r="O276" s="162"/>
      <c r="P276" s="188"/>
      <c r="Q276" s="188"/>
      <c r="R276" s="188"/>
      <c r="S276" s="188"/>
      <c r="T276" s="188"/>
      <c r="U276" s="188"/>
      <c r="V276" s="188"/>
      <c r="W276" s="188"/>
      <c r="X276" s="188"/>
      <c r="Y276" s="188"/>
      <c r="Z276" s="188"/>
      <c r="AA276" s="188"/>
      <c r="AB276" s="188"/>
      <c r="AC276" s="188"/>
      <c r="AD276" s="188"/>
      <c r="AE276" s="188"/>
      <c r="AF276" s="188"/>
      <c r="AG276" s="188"/>
      <c r="AH276" s="188"/>
    </row>
    <row r="277" spans="1:34" x14ac:dyDescent="0.25">
      <c r="A277" s="194" t="s">
        <v>24</v>
      </c>
      <c r="B277" s="45" t="s">
        <v>59</v>
      </c>
      <c r="C277" s="45" t="s">
        <v>789</v>
      </c>
      <c r="D277" s="75" t="s">
        <v>449</v>
      </c>
      <c r="E277" s="75" t="s">
        <v>480</v>
      </c>
      <c r="F277" s="45" t="s">
        <v>154</v>
      </c>
      <c r="G277" s="45" t="s">
        <v>47</v>
      </c>
      <c r="H277" s="45" t="s">
        <v>225</v>
      </c>
      <c r="I277" s="195" t="s">
        <v>481</v>
      </c>
      <c r="J277" s="196">
        <v>44211</v>
      </c>
      <c r="K277" s="196">
        <v>44391</v>
      </c>
      <c r="L277" s="192">
        <v>2</v>
      </c>
      <c r="M277" s="99">
        <f t="shared" si="21"/>
        <v>77</v>
      </c>
      <c r="N277" s="99">
        <f>Tabla3[[#This Row],[NUMBER OF DAYS]]*Tabla3[[#This Row],[MAX. UNIT COST PER DAY]]</f>
        <v>154</v>
      </c>
      <c r="O277" s="162"/>
      <c r="P277" s="188"/>
      <c r="Q277" s="188"/>
      <c r="R277" s="188"/>
      <c r="S277" s="188"/>
      <c r="T277" s="188"/>
      <c r="U277" s="188"/>
      <c r="V277" s="188"/>
      <c r="W277" s="188"/>
      <c r="X277" s="188"/>
      <c r="Y277" s="188"/>
      <c r="Z277" s="188"/>
      <c r="AA277" s="188"/>
      <c r="AB277" s="188"/>
      <c r="AC277" s="188"/>
      <c r="AD277" s="188"/>
      <c r="AE277" s="188"/>
      <c r="AF277" s="188"/>
      <c r="AG277" s="188"/>
      <c r="AH277" s="188"/>
    </row>
    <row r="278" spans="1:34" x14ac:dyDescent="0.25">
      <c r="A278" s="194" t="s">
        <v>72</v>
      </c>
      <c r="B278" s="45" t="s">
        <v>59</v>
      </c>
      <c r="C278" s="45" t="s">
        <v>789</v>
      </c>
      <c r="D278" s="75" t="s">
        <v>449</v>
      </c>
      <c r="E278" s="75" t="s">
        <v>480</v>
      </c>
      <c r="F278" s="45" t="s">
        <v>154</v>
      </c>
      <c r="G278" s="45" t="s">
        <v>47</v>
      </c>
      <c r="H278" s="45" t="s">
        <v>212</v>
      </c>
      <c r="I278" s="195" t="s">
        <v>482</v>
      </c>
      <c r="J278" s="196">
        <v>44211</v>
      </c>
      <c r="K278" s="196">
        <v>44391</v>
      </c>
      <c r="L278" s="192">
        <v>2</v>
      </c>
      <c r="M278" s="99">
        <f t="shared" si="21"/>
        <v>77</v>
      </c>
      <c r="N278" s="99">
        <f>Tabla3[[#This Row],[NUMBER OF DAYS]]*Tabla3[[#This Row],[MAX. UNIT COST PER DAY]]</f>
        <v>154</v>
      </c>
      <c r="O278" s="162"/>
      <c r="P278" s="188"/>
      <c r="Q278" s="188"/>
      <c r="R278" s="188"/>
      <c r="S278" s="188"/>
      <c r="T278" s="188"/>
      <c r="U278" s="188"/>
      <c r="V278" s="188"/>
      <c r="W278" s="188"/>
      <c r="X278" s="188"/>
      <c r="Y278" s="188"/>
      <c r="Z278" s="188"/>
      <c r="AA278" s="188"/>
      <c r="AB278" s="188"/>
      <c r="AC278" s="188"/>
      <c r="AD278" s="188"/>
      <c r="AE278" s="188"/>
      <c r="AF278" s="188"/>
      <c r="AG278" s="188"/>
      <c r="AH278" s="188"/>
    </row>
    <row r="279" spans="1:34" x14ac:dyDescent="0.25">
      <c r="A279" s="194" t="s">
        <v>74</v>
      </c>
      <c r="B279" s="45" t="s">
        <v>59</v>
      </c>
      <c r="C279" s="45" t="s">
        <v>789</v>
      </c>
      <c r="D279" s="75" t="s">
        <v>449</v>
      </c>
      <c r="E279" s="75" t="s">
        <v>486</v>
      </c>
      <c r="F279" s="45" t="s">
        <v>156</v>
      </c>
      <c r="G279" s="45" t="s">
        <v>229</v>
      </c>
      <c r="H279" s="45" t="s">
        <v>210</v>
      </c>
      <c r="I279" s="195" t="s">
        <v>483</v>
      </c>
      <c r="J279" s="196">
        <v>44211</v>
      </c>
      <c r="K279" s="196">
        <v>44391</v>
      </c>
      <c r="L279" s="192">
        <v>4</v>
      </c>
      <c r="M279" s="99">
        <f t="shared" si="21"/>
        <v>32</v>
      </c>
      <c r="N279" s="99">
        <f>Tabla3[[#This Row],[NUMBER OF DAYS]]*Tabla3[[#This Row],[MAX. UNIT COST PER DAY]]</f>
        <v>128</v>
      </c>
      <c r="O279" s="162"/>
      <c r="P279" s="188"/>
      <c r="Q279" s="188"/>
      <c r="R279" s="188"/>
      <c r="S279" s="188"/>
      <c r="T279" s="188"/>
      <c r="U279" s="188"/>
      <c r="V279" s="188"/>
      <c r="W279" s="188"/>
      <c r="X279" s="188"/>
      <c r="Y279" s="188"/>
      <c r="Z279" s="188"/>
      <c r="AA279" s="188"/>
      <c r="AB279" s="188"/>
      <c r="AC279" s="188"/>
      <c r="AD279" s="188"/>
      <c r="AE279" s="188"/>
      <c r="AF279" s="188"/>
      <c r="AG279" s="188"/>
      <c r="AH279" s="188"/>
    </row>
    <row r="280" spans="1:34" x14ac:dyDescent="0.25">
      <c r="A280" s="194" t="s">
        <v>72</v>
      </c>
      <c r="B280" s="45" t="s">
        <v>59</v>
      </c>
      <c r="C280" s="45" t="s">
        <v>789</v>
      </c>
      <c r="D280" s="75" t="s">
        <v>449</v>
      </c>
      <c r="E280" s="75" t="s">
        <v>486</v>
      </c>
      <c r="F280" s="45" t="s">
        <v>156</v>
      </c>
      <c r="G280" s="45" t="s">
        <v>229</v>
      </c>
      <c r="H280" s="45" t="s">
        <v>212</v>
      </c>
      <c r="I280" s="195" t="s">
        <v>484</v>
      </c>
      <c r="J280" s="196">
        <v>44211</v>
      </c>
      <c r="K280" s="196">
        <v>44391</v>
      </c>
      <c r="L280" s="192">
        <v>2</v>
      </c>
      <c r="M280" s="99">
        <f t="shared" si="21"/>
        <v>32</v>
      </c>
      <c r="N280" s="99">
        <f>Tabla3[[#This Row],[NUMBER OF DAYS]]*Tabla3[[#This Row],[MAX. UNIT COST PER DAY]]</f>
        <v>64</v>
      </c>
      <c r="O280" s="162"/>
      <c r="P280" s="188"/>
      <c r="Q280" s="188"/>
      <c r="R280" s="188"/>
      <c r="S280" s="188"/>
      <c r="T280" s="188"/>
      <c r="U280" s="188"/>
      <c r="V280" s="188"/>
      <c r="W280" s="188"/>
      <c r="X280" s="188"/>
      <c r="Y280" s="188"/>
      <c r="Z280" s="188"/>
      <c r="AA280" s="188"/>
      <c r="AB280" s="188"/>
      <c r="AC280" s="188"/>
      <c r="AD280" s="188"/>
      <c r="AE280" s="188"/>
      <c r="AF280" s="188"/>
      <c r="AG280" s="188"/>
      <c r="AH280" s="188"/>
    </row>
    <row r="281" spans="1:34" x14ac:dyDescent="0.25">
      <c r="A281" s="194" t="s">
        <v>73</v>
      </c>
      <c r="B281" s="45" t="s">
        <v>59</v>
      </c>
      <c r="C281" s="45" t="s">
        <v>789</v>
      </c>
      <c r="D281" s="75" t="s">
        <v>449</v>
      </c>
      <c r="E281" s="75" t="s">
        <v>486</v>
      </c>
      <c r="F281" s="45" t="s">
        <v>156</v>
      </c>
      <c r="G281" s="45" t="s">
        <v>229</v>
      </c>
      <c r="H281" s="45" t="s">
        <v>213</v>
      </c>
      <c r="I281" s="195" t="s">
        <v>485</v>
      </c>
      <c r="J281" s="196">
        <v>44211</v>
      </c>
      <c r="K281" s="196">
        <v>44391</v>
      </c>
      <c r="L281" s="192">
        <v>2</v>
      </c>
      <c r="M281" s="99">
        <f t="shared" si="21"/>
        <v>32</v>
      </c>
      <c r="N281" s="99">
        <f>Tabla3[[#This Row],[NUMBER OF DAYS]]*Tabla3[[#This Row],[MAX. UNIT COST PER DAY]]</f>
        <v>64</v>
      </c>
      <c r="O281" s="162"/>
      <c r="P281" s="188"/>
      <c r="Q281" s="188"/>
      <c r="R281" s="188"/>
      <c r="S281" s="188"/>
      <c r="T281" s="188"/>
      <c r="U281" s="188"/>
      <c r="V281" s="188"/>
      <c r="W281" s="188"/>
      <c r="X281" s="188"/>
      <c r="Y281" s="188"/>
      <c r="Z281" s="188"/>
      <c r="AA281" s="188"/>
      <c r="AB281" s="188"/>
      <c r="AC281" s="188"/>
      <c r="AD281" s="188"/>
      <c r="AE281" s="188"/>
      <c r="AF281" s="188"/>
      <c r="AG281" s="188"/>
      <c r="AH281" s="188"/>
    </row>
    <row r="282" spans="1:34" x14ac:dyDescent="0.25">
      <c r="A282" s="194" t="s">
        <v>74</v>
      </c>
      <c r="B282" s="45" t="s">
        <v>59</v>
      </c>
      <c r="C282" s="45" t="s">
        <v>789</v>
      </c>
      <c r="D282" s="75" t="s">
        <v>449</v>
      </c>
      <c r="E282" s="75" t="s">
        <v>490</v>
      </c>
      <c r="F282" s="192" t="s">
        <v>159</v>
      </c>
      <c r="G282" s="192" t="s">
        <v>47</v>
      </c>
      <c r="H282" s="45" t="s">
        <v>210</v>
      </c>
      <c r="I282" s="195" t="s">
        <v>489</v>
      </c>
      <c r="J282" s="196">
        <v>44211</v>
      </c>
      <c r="K282" s="196">
        <v>44391</v>
      </c>
      <c r="L282" s="192">
        <v>2</v>
      </c>
      <c r="M282" s="99">
        <f t="shared" si="21"/>
        <v>77</v>
      </c>
      <c r="N282" s="99">
        <f>Tabla3[[#This Row],[NUMBER OF DAYS]]*Tabla3[[#This Row],[MAX. UNIT COST PER DAY]]</f>
        <v>154</v>
      </c>
      <c r="O282" s="162"/>
      <c r="P282" s="188"/>
      <c r="Q282" s="188"/>
      <c r="R282" s="188"/>
      <c r="S282" s="188"/>
      <c r="T282" s="188"/>
      <c r="U282" s="188"/>
      <c r="V282" s="188"/>
      <c r="W282" s="188"/>
      <c r="X282" s="188"/>
      <c r="Y282" s="188"/>
      <c r="Z282" s="188"/>
      <c r="AA282" s="188"/>
      <c r="AB282" s="188"/>
      <c r="AC282" s="188"/>
      <c r="AD282" s="188"/>
      <c r="AE282" s="188"/>
      <c r="AF282" s="188"/>
      <c r="AG282" s="188"/>
      <c r="AH282" s="188"/>
    </row>
    <row r="283" spans="1:34" x14ac:dyDescent="0.25">
      <c r="A283" s="194" t="s">
        <v>24</v>
      </c>
      <c r="B283" s="45" t="s">
        <v>59</v>
      </c>
      <c r="C283" s="45" t="s">
        <v>789</v>
      </c>
      <c r="D283" s="75" t="s">
        <v>449</v>
      </c>
      <c r="E283" s="75" t="s">
        <v>490</v>
      </c>
      <c r="F283" s="192" t="s">
        <v>159</v>
      </c>
      <c r="G283" s="192" t="s">
        <v>47</v>
      </c>
      <c r="H283" s="45" t="s">
        <v>225</v>
      </c>
      <c r="I283" s="195" t="s">
        <v>487</v>
      </c>
      <c r="J283" s="196">
        <v>44211</v>
      </c>
      <c r="K283" s="196">
        <v>44391</v>
      </c>
      <c r="L283" s="192">
        <v>2</v>
      </c>
      <c r="M283" s="99">
        <f t="shared" si="21"/>
        <v>77</v>
      </c>
      <c r="N283" s="99">
        <f>Tabla3[[#This Row],[NUMBER OF DAYS]]*Tabla3[[#This Row],[MAX. UNIT COST PER DAY]]</f>
        <v>154</v>
      </c>
      <c r="O283" s="162"/>
      <c r="P283" s="188"/>
      <c r="Q283" s="188"/>
      <c r="R283" s="188"/>
      <c r="S283" s="188"/>
      <c r="T283" s="188"/>
      <c r="U283" s="188"/>
      <c r="V283" s="188"/>
      <c r="W283" s="188"/>
      <c r="X283" s="188"/>
      <c r="Y283" s="188"/>
      <c r="Z283" s="188"/>
      <c r="AA283" s="188"/>
      <c r="AB283" s="188"/>
      <c r="AC283" s="188"/>
      <c r="AD283" s="188"/>
      <c r="AE283" s="188"/>
      <c r="AF283" s="188"/>
      <c r="AG283" s="188"/>
      <c r="AH283" s="188"/>
    </row>
    <row r="284" spans="1:34" x14ac:dyDescent="0.25">
      <c r="A284" s="194" t="s">
        <v>72</v>
      </c>
      <c r="B284" s="45" t="s">
        <v>59</v>
      </c>
      <c r="C284" s="45" t="s">
        <v>789</v>
      </c>
      <c r="D284" s="75" t="s">
        <v>449</v>
      </c>
      <c r="E284" s="75" t="s">
        <v>490</v>
      </c>
      <c r="F284" s="192" t="s">
        <v>159</v>
      </c>
      <c r="G284" s="192" t="s">
        <v>47</v>
      </c>
      <c r="H284" s="45" t="s">
        <v>212</v>
      </c>
      <c r="I284" s="195" t="s">
        <v>488</v>
      </c>
      <c r="J284" s="196">
        <v>44211</v>
      </c>
      <c r="K284" s="196">
        <v>44391</v>
      </c>
      <c r="L284" s="192">
        <v>2</v>
      </c>
      <c r="M284" s="99">
        <f t="shared" si="21"/>
        <v>77</v>
      </c>
      <c r="N284" s="99">
        <f>Tabla3[[#This Row],[NUMBER OF DAYS]]*Tabla3[[#This Row],[MAX. UNIT COST PER DAY]]</f>
        <v>154</v>
      </c>
      <c r="O284" s="162"/>
      <c r="P284" s="188"/>
      <c r="Q284" s="188"/>
      <c r="R284" s="188"/>
      <c r="S284" s="188"/>
      <c r="T284" s="188"/>
      <c r="U284" s="188"/>
      <c r="V284" s="188"/>
      <c r="W284" s="188"/>
      <c r="X284" s="188"/>
      <c r="Y284" s="188"/>
      <c r="Z284" s="188"/>
      <c r="AA284" s="188"/>
      <c r="AB284" s="188"/>
      <c r="AC284" s="188"/>
      <c r="AD284" s="188"/>
      <c r="AE284" s="188"/>
      <c r="AF284" s="188"/>
      <c r="AG284" s="188"/>
      <c r="AH284" s="188"/>
    </row>
    <row r="285" spans="1:34" x14ac:dyDescent="0.25">
      <c r="A285" s="94" t="s">
        <v>24</v>
      </c>
      <c r="B285" s="45" t="s">
        <v>59</v>
      </c>
      <c r="C285" s="45" t="s">
        <v>789</v>
      </c>
      <c r="D285" s="75" t="s">
        <v>449</v>
      </c>
      <c r="E285" s="75" t="s">
        <v>491</v>
      </c>
      <c r="F285" s="45" t="s">
        <v>162</v>
      </c>
      <c r="G285" s="192" t="s">
        <v>48</v>
      </c>
      <c r="H285" s="45" t="s">
        <v>225</v>
      </c>
      <c r="I285" s="181" t="s">
        <v>548</v>
      </c>
      <c r="J285" s="196">
        <v>44211</v>
      </c>
      <c r="K285" s="196">
        <v>44391</v>
      </c>
      <c r="L285" s="192">
        <v>5</v>
      </c>
      <c r="M285" s="99">
        <f t="shared" si="21"/>
        <v>57</v>
      </c>
      <c r="N285" s="99">
        <f>Tabla3[[#This Row],[NUMBER OF DAYS]]*Tabla3[[#This Row],[MAX. UNIT COST PER DAY]]</f>
        <v>285</v>
      </c>
      <c r="O285" s="162"/>
      <c r="P285" s="188"/>
      <c r="Q285" s="188"/>
      <c r="R285" s="188"/>
      <c r="S285" s="188"/>
      <c r="T285" s="188"/>
      <c r="U285" s="188"/>
      <c r="V285" s="188"/>
      <c r="W285" s="188"/>
      <c r="X285" s="188"/>
      <c r="Y285" s="188"/>
      <c r="Z285" s="188"/>
      <c r="AA285" s="188"/>
      <c r="AB285" s="188"/>
      <c r="AC285" s="188"/>
      <c r="AD285" s="188"/>
      <c r="AE285" s="188"/>
      <c r="AF285" s="188"/>
      <c r="AG285" s="188"/>
      <c r="AH285" s="188"/>
    </row>
    <row r="286" spans="1:34" x14ac:dyDescent="0.25">
      <c r="A286" s="94" t="s">
        <v>74</v>
      </c>
      <c r="B286" s="45" t="s">
        <v>59</v>
      </c>
      <c r="C286" s="45" t="s">
        <v>789</v>
      </c>
      <c r="D286" s="75" t="s">
        <v>449</v>
      </c>
      <c r="E286" s="75" t="s">
        <v>493</v>
      </c>
      <c r="F286" s="45" t="s">
        <v>165</v>
      </c>
      <c r="G286" s="45" t="s">
        <v>47</v>
      </c>
      <c r="H286" s="45" t="s">
        <v>210</v>
      </c>
      <c r="I286" s="90" t="s">
        <v>492</v>
      </c>
      <c r="J286" s="196">
        <v>44211</v>
      </c>
      <c r="K286" s="196">
        <v>44391</v>
      </c>
      <c r="L286" s="192">
        <v>3</v>
      </c>
      <c r="M286" s="99">
        <f t="shared" si="21"/>
        <v>77</v>
      </c>
      <c r="N286" s="99">
        <f>Tabla3[[#This Row],[NUMBER OF DAYS]]*Tabla3[[#This Row],[MAX. UNIT COST PER DAY]]</f>
        <v>231</v>
      </c>
      <c r="O286" s="162"/>
      <c r="P286" s="188"/>
      <c r="Q286" s="188"/>
      <c r="R286" s="188"/>
      <c r="S286" s="188"/>
      <c r="T286" s="188"/>
      <c r="U286" s="188"/>
      <c r="V286" s="188"/>
      <c r="W286" s="188"/>
      <c r="X286" s="188"/>
      <c r="Y286" s="188"/>
      <c r="Z286" s="188"/>
      <c r="AA286" s="188"/>
      <c r="AB286" s="188"/>
      <c r="AC286" s="188"/>
      <c r="AD286" s="188"/>
      <c r="AE286" s="188"/>
      <c r="AF286" s="188"/>
      <c r="AG286" s="188"/>
      <c r="AH286" s="188"/>
    </row>
    <row r="287" spans="1:34" x14ac:dyDescent="0.25">
      <c r="A287" s="94" t="s">
        <v>24</v>
      </c>
      <c r="B287" s="45" t="s">
        <v>59</v>
      </c>
      <c r="C287" s="45" t="s">
        <v>789</v>
      </c>
      <c r="D287" s="75" t="s">
        <v>449</v>
      </c>
      <c r="E287" s="75" t="s">
        <v>493</v>
      </c>
      <c r="F287" s="45" t="s">
        <v>165</v>
      </c>
      <c r="G287" s="45" t="s">
        <v>47</v>
      </c>
      <c r="H287" s="45" t="s">
        <v>225</v>
      </c>
      <c r="I287" s="195" t="s">
        <v>494</v>
      </c>
      <c r="J287" s="196">
        <v>44211</v>
      </c>
      <c r="K287" s="196">
        <v>44391</v>
      </c>
      <c r="L287" s="192">
        <v>1</v>
      </c>
      <c r="M287" s="99">
        <f t="shared" si="21"/>
        <v>77</v>
      </c>
      <c r="N287" s="99">
        <f>Tabla3[[#This Row],[NUMBER OF DAYS]]*Tabla3[[#This Row],[MAX. UNIT COST PER DAY]]</f>
        <v>77</v>
      </c>
      <c r="O287" s="162"/>
      <c r="P287" s="188"/>
      <c r="Q287" s="188"/>
      <c r="R287" s="188"/>
      <c r="S287" s="188"/>
      <c r="T287" s="188"/>
      <c r="U287" s="188"/>
      <c r="V287" s="188"/>
      <c r="W287" s="188"/>
      <c r="X287" s="188"/>
      <c r="Y287" s="188"/>
      <c r="Z287" s="188"/>
      <c r="AA287" s="188"/>
      <c r="AB287" s="188"/>
      <c r="AC287" s="188"/>
      <c r="AD287" s="188"/>
      <c r="AE287" s="188"/>
      <c r="AF287" s="188"/>
      <c r="AG287" s="188"/>
      <c r="AH287" s="188"/>
    </row>
    <row r="288" spans="1:34" x14ac:dyDescent="0.25">
      <c r="A288" s="94" t="s">
        <v>72</v>
      </c>
      <c r="B288" s="45" t="s">
        <v>59</v>
      </c>
      <c r="C288" s="45" t="s">
        <v>789</v>
      </c>
      <c r="D288" s="75" t="s">
        <v>449</v>
      </c>
      <c r="E288" s="75" t="s">
        <v>493</v>
      </c>
      <c r="F288" s="45" t="s">
        <v>165</v>
      </c>
      <c r="G288" s="45" t="s">
        <v>47</v>
      </c>
      <c r="H288" s="45" t="s">
        <v>212</v>
      </c>
      <c r="I288" s="195" t="s">
        <v>495</v>
      </c>
      <c r="J288" s="196">
        <v>44211</v>
      </c>
      <c r="K288" s="196">
        <v>44391</v>
      </c>
      <c r="L288" s="192">
        <v>2</v>
      </c>
      <c r="M288" s="99">
        <f t="shared" si="21"/>
        <v>77</v>
      </c>
      <c r="N288" s="99">
        <f>Tabla3[[#This Row],[NUMBER OF DAYS]]*Tabla3[[#This Row],[MAX. UNIT COST PER DAY]]</f>
        <v>154</v>
      </c>
      <c r="O288" s="162"/>
      <c r="P288" s="188"/>
      <c r="Q288" s="188"/>
      <c r="R288" s="188"/>
      <c r="S288" s="188"/>
      <c r="T288" s="188"/>
      <c r="U288" s="188"/>
      <c r="V288" s="188"/>
      <c r="W288" s="188"/>
      <c r="X288" s="188"/>
      <c r="Y288" s="188"/>
      <c r="Z288" s="188"/>
      <c r="AA288" s="188"/>
      <c r="AB288" s="188"/>
      <c r="AC288" s="188"/>
      <c r="AD288" s="188"/>
      <c r="AE288" s="188"/>
      <c r="AF288" s="188"/>
      <c r="AG288" s="188"/>
      <c r="AH288" s="188"/>
    </row>
    <row r="289" spans="1:34" x14ac:dyDescent="0.25">
      <c r="A289" s="94" t="s">
        <v>74</v>
      </c>
      <c r="B289" s="45" t="s">
        <v>59</v>
      </c>
      <c r="C289" s="45" t="s">
        <v>789</v>
      </c>
      <c r="D289" s="75" t="s">
        <v>449</v>
      </c>
      <c r="E289" s="75" t="s">
        <v>499</v>
      </c>
      <c r="F289" s="45" t="s">
        <v>168</v>
      </c>
      <c r="G289" s="45" t="s">
        <v>229</v>
      </c>
      <c r="H289" s="45" t="s">
        <v>210</v>
      </c>
      <c r="I289" s="90" t="s">
        <v>496</v>
      </c>
      <c r="J289" s="196">
        <v>44211</v>
      </c>
      <c r="K289" s="196">
        <v>44391</v>
      </c>
      <c r="L289" s="192">
        <v>4</v>
      </c>
      <c r="M289" s="99">
        <f t="shared" si="21"/>
        <v>32</v>
      </c>
      <c r="N289" s="99">
        <f>Tabla3[[#This Row],[NUMBER OF DAYS]]*Tabla3[[#This Row],[MAX. UNIT COST PER DAY]]</f>
        <v>128</v>
      </c>
      <c r="O289" s="162"/>
      <c r="P289" s="188"/>
      <c r="Q289" s="188"/>
      <c r="R289" s="188"/>
      <c r="S289" s="188"/>
      <c r="T289" s="188"/>
      <c r="U289" s="188"/>
      <c r="V289" s="188"/>
      <c r="W289" s="188"/>
      <c r="X289" s="188"/>
      <c r="Y289" s="188"/>
      <c r="Z289" s="188"/>
      <c r="AA289" s="188"/>
      <c r="AB289" s="188"/>
      <c r="AC289" s="188"/>
      <c r="AD289" s="188"/>
      <c r="AE289" s="188"/>
      <c r="AF289" s="188"/>
      <c r="AG289" s="188"/>
      <c r="AH289" s="188"/>
    </row>
    <row r="290" spans="1:34" x14ac:dyDescent="0.25">
      <c r="A290" s="94" t="s">
        <v>24</v>
      </c>
      <c r="B290" s="45" t="s">
        <v>59</v>
      </c>
      <c r="C290" s="45" t="s">
        <v>789</v>
      </c>
      <c r="D290" s="75" t="s">
        <v>449</v>
      </c>
      <c r="E290" s="75" t="s">
        <v>499</v>
      </c>
      <c r="F290" s="45" t="s">
        <v>168</v>
      </c>
      <c r="G290" s="45" t="s">
        <v>229</v>
      </c>
      <c r="H290" s="45" t="s">
        <v>225</v>
      </c>
      <c r="I290" s="195" t="s">
        <v>497</v>
      </c>
      <c r="J290" s="196">
        <v>44211</v>
      </c>
      <c r="K290" s="196">
        <v>44391</v>
      </c>
      <c r="L290" s="192">
        <v>3</v>
      </c>
      <c r="M290" s="99">
        <f t="shared" si="21"/>
        <v>32</v>
      </c>
      <c r="N290" s="99">
        <f>Tabla3[[#This Row],[NUMBER OF DAYS]]*Tabla3[[#This Row],[MAX. UNIT COST PER DAY]]</f>
        <v>96</v>
      </c>
      <c r="O290" s="162"/>
      <c r="P290" s="188"/>
      <c r="Q290" s="188"/>
      <c r="R290" s="188"/>
      <c r="S290" s="188"/>
      <c r="T290" s="188"/>
      <c r="U290" s="188"/>
      <c r="V290" s="188"/>
      <c r="W290" s="188"/>
      <c r="X290" s="188"/>
      <c r="Y290" s="188"/>
      <c r="Z290" s="188"/>
      <c r="AA290" s="188"/>
      <c r="AB290" s="188"/>
      <c r="AC290" s="188"/>
      <c r="AD290" s="188"/>
      <c r="AE290" s="188"/>
      <c r="AF290" s="188"/>
      <c r="AG290" s="188"/>
      <c r="AH290" s="188"/>
    </row>
    <row r="291" spans="1:34" x14ac:dyDescent="0.25">
      <c r="A291" s="94" t="s">
        <v>72</v>
      </c>
      <c r="B291" s="45" t="s">
        <v>59</v>
      </c>
      <c r="C291" s="45" t="s">
        <v>789</v>
      </c>
      <c r="D291" s="75" t="s">
        <v>449</v>
      </c>
      <c r="E291" s="75" t="s">
        <v>499</v>
      </c>
      <c r="F291" s="45" t="s">
        <v>168</v>
      </c>
      <c r="G291" s="45" t="s">
        <v>229</v>
      </c>
      <c r="H291" s="45" t="s">
        <v>212</v>
      </c>
      <c r="I291" s="45" t="s">
        <v>498</v>
      </c>
      <c r="J291" s="196">
        <v>44211</v>
      </c>
      <c r="K291" s="196">
        <v>44391</v>
      </c>
      <c r="L291" s="45">
        <v>1</v>
      </c>
      <c r="M291" s="99">
        <f t="shared" si="21"/>
        <v>32</v>
      </c>
      <c r="N291" s="99">
        <f>Tabla3[[#This Row],[NUMBER OF DAYS]]*Tabla3[[#This Row],[MAX. UNIT COST PER DAY]]</f>
        <v>32</v>
      </c>
      <c r="O291" s="162"/>
      <c r="P291" s="188"/>
      <c r="Q291" s="188"/>
      <c r="R291" s="188"/>
      <c r="S291" s="188"/>
      <c r="T291" s="188"/>
      <c r="U291" s="188"/>
      <c r="V291" s="188"/>
      <c r="W291" s="188"/>
      <c r="X291" s="188"/>
      <c r="Y291" s="188"/>
      <c r="Z291" s="188"/>
      <c r="AA291" s="188"/>
      <c r="AB291" s="188"/>
      <c r="AC291" s="188"/>
      <c r="AD291" s="188"/>
      <c r="AE291" s="188"/>
      <c r="AF291" s="188"/>
      <c r="AG291" s="188"/>
      <c r="AH291" s="188"/>
    </row>
    <row r="292" spans="1:34" x14ac:dyDescent="0.25">
      <c r="A292" s="94" t="s">
        <v>24</v>
      </c>
      <c r="B292" s="45" t="s">
        <v>59</v>
      </c>
      <c r="C292" s="45" t="s">
        <v>789</v>
      </c>
      <c r="D292" s="75" t="s">
        <v>449</v>
      </c>
      <c r="E292" s="75" t="s">
        <v>501</v>
      </c>
      <c r="F292" s="45" t="s">
        <v>171</v>
      </c>
      <c r="G292" s="45" t="s">
        <v>48</v>
      </c>
      <c r="H292" s="45" t="s">
        <v>225</v>
      </c>
      <c r="I292" s="90" t="s">
        <v>500</v>
      </c>
      <c r="J292" s="196">
        <v>44211</v>
      </c>
      <c r="K292" s="196">
        <v>44391</v>
      </c>
      <c r="L292" s="45">
        <v>5</v>
      </c>
      <c r="M292" s="99">
        <f t="shared" si="21"/>
        <v>57</v>
      </c>
      <c r="N292" s="99">
        <f>Tabla3[[#This Row],[NUMBER OF DAYS]]*Tabla3[[#This Row],[MAX. UNIT COST PER DAY]]</f>
        <v>285</v>
      </c>
      <c r="O292" s="162"/>
      <c r="P292" s="188"/>
      <c r="Q292" s="188"/>
      <c r="R292" s="188"/>
      <c r="S292" s="188"/>
      <c r="T292" s="188"/>
      <c r="U292" s="188"/>
      <c r="V292" s="188"/>
      <c r="W292" s="188"/>
      <c r="X292" s="188"/>
      <c r="Y292" s="188"/>
      <c r="Z292" s="188"/>
      <c r="AA292" s="188"/>
      <c r="AB292" s="188"/>
      <c r="AC292" s="188"/>
      <c r="AD292" s="188"/>
      <c r="AE292" s="188"/>
      <c r="AF292" s="188"/>
      <c r="AG292" s="188"/>
      <c r="AH292" s="188"/>
    </row>
    <row r="293" spans="1:34" x14ac:dyDescent="0.25">
      <c r="A293" s="94" t="s">
        <v>74</v>
      </c>
      <c r="B293" s="45" t="s">
        <v>59</v>
      </c>
      <c r="C293" s="45" t="s">
        <v>789</v>
      </c>
      <c r="D293" s="75" t="s">
        <v>449</v>
      </c>
      <c r="E293" s="75" t="s">
        <v>657</v>
      </c>
      <c r="F293" s="45" t="s">
        <v>651</v>
      </c>
      <c r="G293" s="45" t="s">
        <v>229</v>
      </c>
      <c r="H293" s="45" t="s">
        <v>210</v>
      </c>
      <c r="I293" s="90" t="s">
        <v>654</v>
      </c>
      <c r="J293" s="210">
        <v>44392</v>
      </c>
      <c r="K293" s="218">
        <v>44561</v>
      </c>
      <c r="L293" s="45">
        <v>3</v>
      </c>
      <c r="M293" s="99">
        <f t="shared" ref="M293:M305" si="22">IF(AND(G293="Manager",D293="Spain"),164,IF(AND(G293="Teacher/Trainer/Researcher",D293="Spain"),137,IF(AND(G293="Technical Staff",D293="Spain"),102,IF(AND(G293="Administrative staff",D293="Spain"),78,IF(AND(G293="Manager",D293="Slovenia"),164,IF(AND(G293="Teacher/Trainer/Researcher",D293="Slovenia"),137,IF(AND(G293="Technical Staff",D293="Slovenia"),102,IF(AND(G293="Administrative staff",D293="Slovenia"),78,IF(AND(G293="Manager",D293="Italy"),280,IF(AND(G293="Teacher/Trainer/Researcher",D293="Italy"),214,IF(AND(G293="Technical Staff",D293="Italy"),162,IF(AND(G293="Administrative staff",D293="Italy"),131,IF(AND(G293="Manager",D293="Kazakhstan"),77,IF(AND(G293="Teacher/Trainer/Researcher",D293="Kazakhstan"),57,IF(AND(G293="Technical Staff",D293="Kazakhstan"),40,IF(AND(G293="Administrative staff",D293="Kazakhstan"),32,IF(AND(G293="Manager",D293="Turkmenistan"),47,IF(AND(G293="Teacher/Trainer/Researcher",D293="Turkmenistan"),33,IF(AND(G293="Technical Staff",D293="Turkmenistan"),22,IF(AND(G293="Administrative staff",D293="Turkmenistan"),17,IF(AND(G293="Manager",D293="Tajikistan"),47,IF(AND(G293="Teacher/Trainer/Researcher",D293="Tajikistan"),33,IF(AND(G293="Technical Staff",D293="Tajikistan"),22,IF(AND(G293="Administrative staff",D293="Tajikistan"),17,))))))))))))))))))))))))</f>
        <v>32</v>
      </c>
      <c r="N293" s="99">
        <f>Tabla3[[#This Row],[NUMBER OF DAYS]]*Tabla3[[#This Row],[MAX. UNIT COST PER DAY]]</f>
        <v>96</v>
      </c>
      <c r="O293" s="162"/>
      <c r="P293" s="188"/>
      <c r="Q293" s="188"/>
      <c r="R293" s="188"/>
      <c r="S293" s="188"/>
      <c r="T293" s="188"/>
      <c r="U293" s="188"/>
      <c r="V293" s="188"/>
      <c r="W293" s="188"/>
      <c r="X293" s="188"/>
      <c r="Y293" s="188"/>
      <c r="Z293" s="188"/>
      <c r="AA293" s="188"/>
      <c r="AB293" s="188"/>
      <c r="AC293" s="188"/>
      <c r="AD293" s="188"/>
      <c r="AE293" s="188"/>
      <c r="AF293" s="188"/>
      <c r="AG293" s="188"/>
      <c r="AH293" s="188"/>
    </row>
    <row r="294" spans="1:34" x14ac:dyDescent="0.25">
      <c r="A294" s="94" t="s">
        <v>24</v>
      </c>
      <c r="B294" s="45" t="s">
        <v>59</v>
      </c>
      <c r="C294" s="45" t="s">
        <v>789</v>
      </c>
      <c r="D294" s="75" t="s">
        <v>449</v>
      </c>
      <c r="E294" s="75" t="s">
        <v>657</v>
      </c>
      <c r="F294" s="45" t="s">
        <v>651</v>
      </c>
      <c r="G294" s="45" t="s">
        <v>229</v>
      </c>
      <c r="H294" s="45" t="s">
        <v>225</v>
      </c>
      <c r="I294" s="90" t="s">
        <v>656</v>
      </c>
      <c r="J294" s="210">
        <v>44392</v>
      </c>
      <c r="K294" s="218">
        <v>44561</v>
      </c>
      <c r="L294" s="45">
        <v>3</v>
      </c>
      <c r="M294" s="99">
        <f t="shared" si="22"/>
        <v>32</v>
      </c>
      <c r="N294" s="99">
        <f>Tabla3[[#This Row],[NUMBER OF DAYS]]*Tabla3[[#This Row],[MAX. UNIT COST PER DAY]]</f>
        <v>96</v>
      </c>
      <c r="O294" s="162"/>
      <c r="P294" s="188"/>
      <c r="Q294" s="188"/>
      <c r="R294" s="188"/>
      <c r="S294" s="188"/>
      <c r="T294" s="188"/>
      <c r="U294" s="188"/>
      <c r="V294" s="188"/>
      <c r="W294" s="188"/>
      <c r="X294" s="188"/>
      <c r="Y294" s="188"/>
      <c r="Z294" s="188"/>
      <c r="AA294" s="188"/>
      <c r="AB294" s="188"/>
      <c r="AC294" s="188"/>
      <c r="AD294" s="188"/>
      <c r="AE294" s="188"/>
      <c r="AF294" s="188"/>
      <c r="AG294" s="188"/>
      <c r="AH294" s="188"/>
    </row>
    <row r="295" spans="1:34" x14ac:dyDescent="0.25">
      <c r="A295" s="94" t="s">
        <v>73</v>
      </c>
      <c r="B295" s="45" t="s">
        <v>59</v>
      </c>
      <c r="C295" s="45" t="s">
        <v>789</v>
      </c>
      <c r="D295" s="75" t="s">
        <v>449</v>
      </c>
      <c r="E295" s="75" t="s">
        <v>657</v>
      </c>
      <c r="F295" s="45" t="s">
        <v>651</v>
      </c>
      <c r="G295" s="45" t="s">
        <v>229</v>
      </c>
      <c r="H295" s="45" t="s">
        <v>213</v>
      </c>
      <c r="I295" s="90" t="s">
        <v>655</v>
      </c>
      <c r="J295" s="210">
        <v>44392</v>
      </c>
      <c r="K295" s="218">
        <v>44561</v>
      </c>
      <c r="L295" s="45">
        <v>2</v>
      </c>
      <c r="M295" s="99">
        <f t="shared" si="22"/>
        <v>32</v>
      </c>
      <c r="N295" s="99">
        <f>Tabla3[[#This Row],[NUMBER OF DAYS]]*Tabla3[[#This Row],[MAX. UNIT COST PER DAY]]</f>
        <v>64</v>
      </c>
      <c r="O295" s="162"/>
      <c r="P295" s="188"/>
      <c r="Q295" s="188"/>
      <c r="R295" s="188"/>
      <c r="S295" s="188"/>
      <c r="T295" s="188"/>
      <c r="U295" s="188"/>
      <c r="V295" s="188"/>
      <c r="W295" s="188"/>
      <c r="X295" s="188"/>
      <c r="Y295" s="188"/>
      <c r="Z295" s="188"/>
      <c r="AA295" s="188"/>
      <c r="AB295" s="188"/>
      <c r="AC295" s="188"/>
      <c r="AD295" s="188"/>
      <c r="AE295" s="188"/>
      <c r="AF295" s="188"/>
      <c r="AG295" s="188"/>
      <c r="AH295" s="188"/>
    </row>
    <row r="296" spans="1:34" x14ac:dyDescent="0.25">
      <c r="A296" s="94" t="s">
        <v>74</v>
      </c>
      <c r="B296" s="45" t="s">
        <v>59</v>
      </c>
      <c r="C296" s="45" t="s">
        <v>789</v>
      </c>
      <c r="D296" s="75" t="s">
        <v>449</v>
      </c>
      <c r="E296" s="75" t="s">
        <v>660</v>
      </c>
      <c r="F296" s="45" t="s">
        <v>159</v>
      </c>
      <c r="G296" s="45" t="s">
        <v>47</v>
      </c>
      <c r="H296" s="45" t="s">
        <v>210</v>
      </c>
      <c r="I296" s="45" t="s">
        <v>658</v>
      </c>
      <c r="J296" s="210">
        <v>44392</v>
      </c>
      <c r="K296" s="218">
        <v>44561</v>
      </c>
      <c r="L296" s="45">
        <v>1</v>
      </c>
      <c r="M296" s="99">
        <f t="shared" si="22"/>
        <v>77</v>
      </c>
      <c r="N296" s="99">
        <f>Tabla3[[#This Row],[NUMBER OF DAYS]]*Tabla3[[#This Row],[MAX. UNIT COST PER DAY]]</f>
        <v>77</v>
      </c>
      <c r="O296" s="162"/>
      <c r="P296" s="188"/>
      <c r="Q296" s="188"/>
      <c r="R296" s="188"/>
      <c r="S296" s="188"/>
      <c r="T296" s="188"/>
      <c r="U296" s="188"/>
      <c r="V296" s="188"/>
      <c r="W296" s="188"/>
      <c r="X296" s="188"/>
      <c r="Y296" s="188"/>
      <c r="Z296" s="188"/>
      <c r="AA296" s="188"/>
      <c r="AB296" s="188"/>
      <c r="AC296" s="188"/>
      <c r="AD296" s="188"/>
      <c r="AE296" s="188"/>
      <c r="AF296" s="188"/>
      <c r="AG296" s="188"/>
      <c r="AH296" s="188"/>
    </row>
    <row r="297" spans="1:34" x14ac:dyDescent="0.25">
      <c r="A297" s="212" t="s">
        <v>72</v>
      </c>
      <c r="B297" s="45" t="s">
        <v>59</v>
      </c>
      <c r="C297" s="45" t="s">
        <v>789</v>
      </c>
      <c r="D297" s="75" t="s">
        <v>449</v>
      </c>
      <c r="E297" s="75" t="s">
        <v>660</v>
      </c>
      <c r="F297" s="45" t="s">
        <v>159</v>
      </c>
      <c r="G297" s="45" t="s">
        <v>47</v>
      </c>
      <c r="H297" s="45" t="s">
        <v>212</v>
      </c>
      <c r="I297" s="90" t="s">
        <v>711</v>
      </c>
      <c r="J297" s="210">
        <v>44392</v>
      </c>
      <c r="K297" s="218">
        <v>44561</v>
      </c>
      <c r="L297" s="45">
        <v>2</v>
      </c>
      <c r="M297" s="99">
        <f t="shared" si="22"/>
        <v>77</v>
      </c>
      <c r="N297" s="99">
        <f>Tabla3[[#This Row],[NUMBER OF DAYS]]*Tabla3[[#This Row],[MAX. UNIT COST PER DAY]]</f>
        <v>154</v>
      </c>
      <c r="O297" s="162"/>
      <c r="P297" s="188"/>
      <c r="Q297" s="188"/>
      <c r="R297" s="188"/>
      <c r="S297" s="188"/>
      <c r="T297" s="188"/>
      <c r="U297" s="188"/>
      <c r="V297" s="188"/>
      <c r="W297" s="188"/>
      <c r="X297" s="188"/>
      <c r="Y297" s="188"/>
      <c r="Z297" s="188"/>
      <c r="AA297" s="188"/>
      <c r="AB297" s="188"/>
      <c r="AC297" s="188"/>
      <c r="AD297" s="188"/>
      <c r="AE297" s="188"/>
      <c r="AF297" s="188"/>
      <c r="AG297" s="188"/>
      <c r="AH297" s="188"/>
    </row>
    <row r="298" spans="1:34" x14ac:dyDescent="0.25">
      <c r="A298" s="94" t="s">
        <v>24</v>
      </c>
      <c r="B298" s="45" t="s">
        <v>59</v>
      </c>
      <c r="C298" s="45" t="s">
        <v>789</v>
      </c>
      <c r="D298" s="75" t="s">
        <v>449</v>
      </c>
      <c r="E298" s="75" t="s">
        <v>660</v>
      </c>
      <c r="F298" s="45" t="s">
        <v>159</v>
      </c>
      <c r="G298" s="45" t="s">
        <v>47</v>
      </c>
      <c r="H298" s="45" t="s">
        <v>225</v>
      </c>
      <c r="I298" s="90" t="s">
        <v>659</v>
      </c>
      <c r="J298" s="210">
        <v>44392</v>
      </c>
      <c r="K298" s="218">
        <v>44561</v>
      </c>
      <c r="L298" s="45">
        <v>2</v>
      </c>
      <c r="M298" s="99">
        <f t="shared" si="22"/>
        <v>77</v>
      </c>
      <c r="N298" s="99">
        <f>Tabla3[[#This Row],[NUMBER OF DAYS]]*Tabla3[[#This Row],[MAX. UNIT COST PER DAY]]</f>
        <v>154</v>
      </c>
      <c r="O298" s="162"/>
      <c r="P298" s="188"/>
      <c r="Q298" s="188"/>
      <c r="R298" s="188"/>
      <c r="S298" s="188"/>
      <c r="T298" s="188"/>
      <c r="U298" s="188"/>
      <c r="V298" s="188"/>
      <c r="W298" s="188"/>
      <c r="X298" s="188"/>
      <c r="Y298" s="188"/>
      <c r="Z298" s="188"/>
      <c r="AA298" s="188"/>
      <c r="AB298" s="188"/>
      <c r="AC298" s="188"/>
      <c r="AD298" s="188"/>
      <c r="AE298" s="188"/>
      <c r="AF298" s="188"/>
      <c r="AG298" s="188"/>
      <c r="AH298" s="188"/>
    </row>
    <row r="299" spans="1:34" x14ac:dyDescent="0.25">
      <c r="A299" s="212" t="s">
        <v>24</v>
      </c>
      <c r="B299" s="45" t="s">
        <v>59</v>
      </c>
      <c r="C299" s="45" t="s">
        <v>789</v>
      </c>
      <c r="D299" s="75" t="s">
        <v>449</v>
      </c>
      <c r="E299" s="75" t="s">
        <v>662</v>
      </c>
      <c r="F299" s="45" t="s">
        <v>162</v>
      </c>
      <c r="G299" s="45" t="s">
        <v>48</v>
      </c>
      <c r="H299" s="45" t="s">
        <v>225</v>
      </c>
      <c r="I299" s="90" t="s">
        <v>661</v>
      </c>
      <c r="J299" s="210">
        <v>44392</v>
      </c>
      <c r="K299" s="218">
        <v>44561</v>
      </c>
      <c r="L299" s="45">
        <v>5</v>
      </c>
      <c r="M299" s="99">
        <f t="shared" si="22"/>
        <v>57</v>
      </c>
      <c r="N299" s="99">
        <f>Tabla3[[#This Row],[NUMBER OF DAYS]]*Tabla3[[#This Row],[MAX. UNIT COST PER DAY]]</f>
        <v>285</v>
      </c>
      <c r="O299" s="162"/>
      <c r="P299" s="188"/>
      <c r="Q299" s="188"/>
      <c r="R299" s="188"/>
      <c r="S299" s="188"/>
      <c r="T299" s="188"/>
      <c r="U299" s="188"/>
      <c r="V299" s="188"/>
      <c r="W299" s="188"/>
      <c r="X299" s="188"/>
      <c r="Y299" s="188"/>
      <c r="Z299" s="188"/>
      <c r="AA299" s="188"/>
      <c r="AB299" s="188"/>
      <c r="AC299" s="188"/>
      <c r="AD299" s="188"/>
      <c r="AE299" s="188"/>
      <c r="AF299" s="188"/>
      <c r="AG299" s="188"/>
      <c r="AH299" s="188"/>
    </row>
    <row r="300" spans="1:34" x14ac:dyDescent="0.25">
      <c r="A300" s="94" t="s">
        <v>74</v>
      </c>
      <c r="B300" s="45" t="s">
        <v>59</v>
      </c>
      <c r="C300" s="45" t="s">
        <v>789</v>
      </c>
      <c r="D300" s="75" t="s">
        <v>449</v>
      </c>
      <c r="E300" s="75" t="s">
        <v>667</v>
      </c>
      <c r="F300" s="45" t="s">
        <v>663</v>
      </c>
      <c r="G300" s="45" t="s">
        <v>47</v>
      </c>
      <c r="H300" s="45" t="s">
        <v>210</v>
      </c>
      <c r="I300" s="45" t="s">
        <v>664</v>
      </c>
      <c r="J300" s="210">
        <v>44392</v>
      </c>
      <c r="K300" s="218">
        <v>44561</v>
      </c>
      <c r="L300" s="45">
        <v>1</v>
      </c>
      <c r="M300" s="99">
        <f t="shared" si="22"/>
        <v>77</v>
      </c>
      <c r="N300" s="99">
        <f>Tabla3[[#This Row],[NUMBER OF DAYS]]*Tabla3[[#This Row],[MAX. UNIT COST PER DAY]]</f>
        <v>77</v>
      </c>
      <c r="O300" s="162"/>
      <c r="P300" s="188"/>
      <c r="Q300" s="188"/>
      <c r="R300" s="188"/>
      <c r="S300" s="188"/>
      <c r="T300" s="188"/>
      <c r="U300" s="188"/>
      <c r="V300" s="188"/>
      <c r="W300" s="188"/>
      <c r="X300" s="188"/>
      <c r="Y300" s="188"/>
      <c r="Z300" s="188"/>
      <c r="AA300" s="188"/>
      <c r="AB300" s="188"/>
      <c r="AC300" s="188"/>
      <c r="AD300" s="188"/>
      <c r="AE300" s="188"/>
      <c r="AF300" s="188"/>
      <c r="AG300" s="188"/>
      <c r="AH300" s="188"/>
    </row>
    <row r="301" spans="1:34" x14ac:dyDescent="0.25">
      <c r="A301" s="94" t="s">
        <v>24</v>
      </c>
      <c r="B301" s="45" t="s">
        <v>59</v>
      </c>
      <c r="C301" s="45" t="s">
        <v>789</v>
      </c>
      <c r="D301" s="75" t="s">
        <v>449</v>
      </c>
      <c r="E301" s="75" t="s">
        <v>667</v>
      </c>
      <c r="F301" s="45" t="s">
        <v>663</v>
      </c>
      <c r="G301" s="45" t="s">
        <v>47</v>
      </c>
      <c r="H301" s="45" t="s">
        <v>225</v>
      </c>
      <c r="I301" s="90" t="s">
        <v>666</v>
      </c>
      <c r="J301" s="210">
        <v>44392</v>
      </c>
      <c r="K301" s="218">
        <v>44561</v>
      </c>
      <c r="L301" s="45">
        <v>2</v>
      </c>
      <c r="M301" s="99">
        <f t="shared" si="22"/>
        <v>77</v>
      </c>
      <c r="N301" s="99">
        <f>Tabla3[[#This Row],[NUMBER OF DAYS]]*Tabla3[[#This Row],[MAX. UNIT COST PER DAY]]</f>
        <v>154</v>
      </c>
      <c r="O301" s="162"/>
      <c r="P301" s="188"/>
      <c r="Q301" s="188"/>
      <c r="R301" s="188"/>
      <c r="S301" s="188"/>
      <c r="T301" s="188"/>
      <c r="U301" s="188"/>
      <c r="V301" s="188"/>
      <c r="W301" s="188"/>
      <c r="X301" s="188"/>
      <c r="Y301" s="188"/>
      <c r="Z301" s="188"/>
      <c r="AA301" s="188"/>
      <c r="AB301" s="188"/>
      <c r="AC301" s="188"/>
      <c r="AD301" s="188"/>
      <c r="AE301" s="188"/>
      <c r="AF301" s="188"/>
      <c r="AG301" s="188"/>
      <c r="AH301" s="188"/>
    </row>
    <row r="302" spans="1:34" x14ac:dyDescent="0.25">
      <c r="A302" s="94" t="s">
        <v>72</v>
      </c>
      <c r="B302" s="45" t="s">
        <v>59</v>
      </c>
      <c r="C302" s="45" t="s">
        <v>789</v>
      </c>
      <c r="D302" s="75" t="s">
        <v>449</v>
      </c>
      <c r="E302" s="75" t="s">
        <v>667</v>
      </c>
      <c r="F302" s="45" t="s">
        <v>663</v>
      </c>
      <c r="G302" s="45" t="s">
        <v>47</v>
      </c>
      <c r="H302" s="45" t="s">
        <v>212</v>
      </c>
      <c r="I302" s="90" t="s">
        <v>665</v>
      </c>
      <c r="J302" s="210">
        <v>44392</v>
      </c>
      <c r="K302" s="218">
        <v>44561</v>
      </c>
      <c r="L302" s="45">
        <v>2</v>
      </c>
      <c r="M302" s="99">
        <f t="shared" si="22"/>
        <v>77</v>
      </c>
      <c r="N302" s="99">
        <f>Tabla3[[#This Row],[NUMBER OF DAYS]]*Tabla3[[#This Row],[MAX. UNIT COST PER DAY]]</f>
        <v>154</v>
      </c>
      <c r="O302" s="162"/>
      <c r="P302" s="188"/>
      <c r="Q302" s="188"/>
      <c r="R302" s="188"/>
      <c r="S302" s="188"/>
      <c r="T302" s="188"/>
      <c r="U302" s="188"/>
      <c r="V302" s="188"/>
      <c r="W302" s="188"/>
      <c r="X302" s="188"/>
      <c r="Y302" s="188"/>
      <c r="Z302" s="188"/>
      <c r="AA302" s="188"/>
      <c r="AB302" s="188"/>
      <c r="AC302" s="188"/>
      <c r="AD302" s="188"/>
      <c r="AE302" s="188"/>
      <c r="AF302" s="188"/>
      <c r="AG302" s="188"/>
      <c r="AH302" s="188"/>
    </row>
    <row r="303" spans="1:34" x14ac:dyDescent="0.25">
      <c r="A303" s="94" t="s">
        <v>24</v>
      </c>
      <c r="B303" s="45" t="s">
        <v>59</v>
      </c>
      <c r="C303" s="45" t="s">
        <v>789</v>
      </c>
      <c r="D303" s="75" t="s">
        <v>449</v>
      </c>
      <c r="E303" s="75" t="s">
        <v>669</v>
      </c>
      <c r="F303" s="45" t="s">
        <v>165</v>
      </c>
      <c r="G303" s="45" t="s">
        <v>47</v>
      </c>
      <c r="H303" s="45" t="s">
        <v>225</v>
      </c>
      <c r="I303" s="45" t="s">
        <v>668</v>
      </c>
      <c r="J303" s="210">
        <v>44392</v>
      </c>
      <c r="K303" s="218">
        <v>44561</v>
      </c>
      <c r="L303" s="45">
        <v>5</v>
      </c>
      <c r="M303" s="99">
        <f t="shared" si="22"/>
        <v>77</v>
      </c>
      <c r="N303" s="99">
        <f>Tabla3[[#This Row],[NUMBER OF DAYS]]*Tabla3[[#This Row],[MAX. UNIT COST PER DAY]]</f>
        <v>385</v>
      </c>
      <c r="O303" s="162"/>
      <c r="P303" s="188"/>
      <c r="Q303" s="188"/>
      <c r="R303" s="188"/>
      <c r="S303" s="188"/>
      <c r="T303" s="188"/>
      <c r="U303" s="188"/>
      <c r="V303" s="188"/>
      <c r="W303" s="188"/>
      <c r="X303" s="188"/>
      <c r="Y303" s="188"/>
      <c r="Z303" s="188"/>
      <c r="AA303" s="188"/>
      <c r="AB303" s="188"/>
      <c r="AC303" s="188"/>
      <c r="AD303" s="188"/>
      <c r="AE303" s="188"/>
      <c r="AF303" s="188"/>
      <c r="AG303" s="188"/>
      <c r="AH303" s="188"/>
    </row>
    <row r="304" spans="1:34" x14ac:dyDescent="0.25">
      <c r="A304" s="94" t="s">
        <v>74</v>
      </c>
      <c r="B304" s="45" t="s">
        <v>59</v>
      </c>
      <c r="C304" s="45" t="s">
        <v>789</v>
      </c>
      <c r="D304" s="75" t="s">
        <v>449</v>
      </c>
      <c r="E304" s="75" t="s">
        <v>670</v>
      </c>
      <c r="F304" s="45" t="s">
        <v>168</v>
      </c>
      <c r="G304" s="45" t="s">
        <v>229</v>
      </c>
      <c r="H304" s="45" t="s">
        <v>210</v>
      </c>
      <c r="I304" s="90" t="s">
        <v>672</v>
      </c>
      <c r="J304" s="210">
        <v>44392</v>
      </c>
      <c r="K304" s="218">
        <v>44561</v>
      </c>
      <c r="L304" s="45">
        <v>4</v>
      </c>
      <c r="M304" s="99">
        <f t="shared" si="22"/>
        <v>32</v>
      </c>
      <c r="N304" s="99">
        <f>Tabla3[[#This Row],[NUMBER OF DAYS]]*Tabla3[[#This Row],[MAX. UNIT COST PER DAY]]</f>
        <v>128</v>
      </c>
      <c r="O304" s="162"/>
      <c r="P304" s="188"/>
      <c r="Q304" s="188"/>
      <c r="R304" s="188"/>
      <c r="S304" s="188"/>
      <c r="T304" s="188"/>
      <c r="U304" s="188"/>
      <c r="V304" s="188"/>
      <c r="W304" s="188"/>
      <c r="X304" s="188"/>
      <c r="Y304" s="188"/>
      <c r="Z304" s="188"/>
      <c r="AA304" s="188"/>
      <c r="AB304" s="188"/>
      <c r="AC304" s="188"/>
      <c r="AD304" s="188"/>
      <c r="AE304" s="188"/>
      <c r="AF304" s="188"/>
      <c r="AG304" s="188"/>
      <c r="AH304" s="188"/>
    </row>
    <row r="305" spans="1:34" x14ac:dyDescent="0.25">
      <c r="A305" s="94" t="s">
        <v>24</v>
      </c>
      <c r="B305" s="45" t="s">
        <v>59</v>
      </c>
      <c r="C305" s="45" t="s">
        <v>789</v>
      </c>
      <c r="D305" s="75" t="s">
        <v>449</v>
      </c>
      <c r="E305" s="75" t="s">
        <v>670</v>
      </c>
      <c r="F305" s="45" t="s">
        <v>168</v>
      </c>
      <c r="G305" s="45" t="s">
        <v>229</v>
      </c>
      <c r="H305" s="45" t="s">
        <v>225</v>
      </c>
      <c r="I305" s="90" t="s">
        <v>671</v>
      </c>
      <c r="J305" s="210">
        <v>44392</v>
      </c>
      <c r="K305" s="218">
        <v>44561</v>
      </c>
      <c r="L305" s="45">
        <v>4</v>
      </c>
      <c r="M305" s="99">
        <f t="shared" si="22"/>
        <v>32</v>
      </c>
      <c r="N305" s="99">
        <f>Tabla3[[#This Row],[NUMBER OF DAYS]]*Tabla3[[#This Row],[MAX. UNIT COST PER DAY]]</f>
        <v>128</v>
      </c>
      <c r="O305" s="162"/>
      <c r="P305" s="188"/>
      <c r="Q305" s="188"/>
      <c r="R305" s="188"/>
      <c r="S305" s="188"/>
      <c r="T305" s="188"/>
      <c r="U305" s="188"/>
      <c r="V305" s="188"/>
      <c r="W305" s="188"/>
      <c r="X305" s="188"/>
      <c r="Y305" s="188"/>
      <c r="Z305" s="188"/>
      <c r="AA305" s="188"/>
      <c r="AB305" s="188"/>
      <c r="AC305" s="188"/>
      <c r="AD305" s="188"/>
      <c r="AE305" s="188"/>
      <c r="AF305" s="188"/>
      <c r="AG305" s="188"/>
      <c r="AH305" s="188"/>
    </row>
    <row r="306" spans="1:34" x14ac:dyDescent="0.25">
      <c r="A306" s="94" t="s">
        <v>24</v>
      </c>
      <c r="B306" s="45" t="s">
        <v>59</v>
      </c>
      <c r="C306" s="45" t="s">
        <v>789</v>
      </c>
      <c r="D306" s="75" t="s">
        <v>449</v>
      </c>
      <c r="E306" s="75" t="s">
        <v>674</v>
      </c>
      <c r="F306" s="96" t="s">
        <v>171</v>
      </c>
      <c r="G306" s="45" t="s">
        <v>48</v>
      </c>
      <c r="H306" s="45" t="s">
        <v>225</v>
      </c>
      <c r="I306" s="90" t="s">
        <v>673</v>
      </c>
      <c r="J306" s="210">
        <v>44392</v>
      </c>
      <c r="K306" s="218">
        <v>44561</v>
      </c>
      <c r="L306" s="45">
        <v>5</v>
      </c>
      <c r="M306" s="99">
        <f t="shared" ref="M306" si="23">IF(AND(G306="Manager",D306="Spain"),164,IF(AND(G306="Teacher/Trainer/Researcher",D306="Spain"),137,IF(AND(G306="Technical Staff",D306="Spain"),102,IF(AND(G306="Administrative staff",D306="Spain"),78,IF(AND(G306="Manager",D306="Slovenia"),164,IF(AND(G306="Teacher/Trainer/Researcher",D306="Slovenia"),137,IF(AND(G306="Technical Staff",D306="Slovenia"),102,IF(AND(G306="Administrative staff",D306="Slovenia"),78,IF(AND(G306="Manager",D306="Italy"),280,IF(AND(G306="Teacher/Trainer/Researcher",D306="Italy"),214,IF(AND(G306="Technical Staff",D306="Italy"),162,IF(AND(G306="Administrative staff",D306="Italy"),131,IF(AND(G306="Manager",D306="Kazakhstan"),77,IF(AND(G306="Teacher/Trainer/Researcher",D306="Kazakhstan"),57,IF(AND(G306="Technical Staff",D306="Kazakhstan"),40,IF(AND(G306="Administrative staff",D306="Kazakhstan"),32,IF(AND(G306="Manager",D306="Turkmenistan"),47,IF(AND(G306="Teacher/Trainer/Researcher",D306="Turkmenistan"),33,IF(AND(G306="Technical Staff",D306="Turkmenistan"),22,IF(AND(G306="Administrative staff",D306="Turkmenistan"),17,IF(AND(G306="Manager",D306="Tajikistan"),47,IF(AND(G306="Teacher/Trainer/Researcher",D306="Tajikistan"),33,IF(AND(G306="Technical Staff",D306="Tajikistan"),22,IF(AND(G306="Administrative staff",D306="Tajikistan"),17,))))))))))))))))))))))))</f>
        <v>57</v>
      </c>
      <c r="N306" s="99">
        <f>Tabla3[[#This Row],[NUMBER OF DAYS]]*Tabla3[[#This Row],[MAX. UNIT COST PER DAY]]</f>
        <v>285</v>
      </c>
      <c r="O306" s="162"/>
      <c r="P306" s="188"/>
      <c r="Q306" s="188"/>
      <c r="R306" s="188"/>
      <c r="S306" s="188"/>
      <c r="T306" s="188"/>
      <c r="U306" s="188"/>
      <c r="V306" s="188"/>
      <c r="W306" s="188"/>
      <c r="X306" s="188"/>
      <c r="Y306" s="188"/>
      <c r="Z306" s="188"/>
      <c r="AA306" s="188"/>
      <c r="AB306" s="188"/>
      <c r="AC306" s="188"/>
      <c r="AD306" s="188"/>
      <c r="AE306" s="188"/>
      <c r="AF306" s="188"/>
      <c r="AG306" s="188"/>
      <c r="AH306" s="188"/>
    </row>
    <row r="307" spans="1:34" x14ac:dyDescent="0.25">
      <c r="A307" s="89"/>
      <c r="B307" s="66"/>
      <c r="C307" s="66"/>
      <c r="D307" s="69"/>
      <c r="E307" s="91"/>
      <c r="F307" s="89"/>
      <c r="G307" s="89"/>
      <c r="H307" s="89"/>
      <c r="I307" s="89"/>
      <c r="J307" s="91"/>
      <c r="K307" s="91"/>
      <c r="L307" s="89"/>
      <c r="M307" s="89"/>
      <c r="N307" s="102">
        <f>Tabla3[[#This Row],[NUMBER OF DAYS]]*Tabla3[[#This Row],[MAX. UNIT COST PER DAY]]</f>
        <v>0</v>
      </c>
    </row>
    <row r="308" spans="1:34" x14ac:dyDescent="0.25">
      <c r="A308" s="45" t="s">
        <v>74</v>
      </c>
      <c r="B308" s="45" t="s">
        <v>60</v>
      </c>
      <c r="C308" s="45" t="s">
        <v>107</v>
      </c>
      <c r="D308" s="75" t="s">
        <v>93</v>
      </c>
      <c r="E308" s="75" t="s">
        <v>296</v>
      </c>
      <c r="F308" s="45" t="s">
        <v>440</v>
      </c>
      <c r="G308" s="45" t="s">
        <v>229</v>
      </c>
      <c r="H308" s="45" t="s">
        <v>210</v>
      </c>
      <c r="I308" s="45" t="s">
        <v>297</v>
      </c>
      <c r="J308" s="78">
        <v>43845</v>
      </c>
      <c r="K308" s="78">
        <v>44026</v>
      </c>
      <c r="L308" s="45">
        <v>12</v>
      </c>
      <c r="M308" s="99">
        <f t="shared" ref="M308:M323" si="24">IF(AND(G308="Manager",D308="Spain"),164,IF(AND(G308="Teacher/Trainer/Researcher",D308="Spain"),137,IF(AND(G308="Technical Staff",D308="Spain"),102,IF(AND(G308="Administrative staff",D308="Spain"),78,IF(AND(G308="Manager",D308="Slovenia"),164,IF(AND(G308="Teacher/Trainer/Researcher",D308="Slovenia"),137,IF(AND(G308="Technical Staff",D308="Slovenia"),102,IF(AND(G308="Administrative staff",D308="Slovenia"),78,IF(AND(G308="Manager",D308="Italy"),280,IF(AND(G308="Teacher/Trainer/Researcher",D308="Italy"),214,IF(AND(G308="Technical Staff",D308="Italy"),162,IF(AND(G308="Administrative staff",D308="Italy"),131,IF(AND(G308="Manager",D308="Kazakhstan"),77,IF(AND(G308="Teacher/Trainer/Researcher",D308="Kazakhstan"),57,IF(AND(G308="Technical Staff",D308="Kazakhstan"),40,IF(AND(G308="Administrative staff",D308="Kazakhstan"),32,IF(AND(G308="Manager",D308="Turkmenistan"),47,IF(AND(G308="Teacher/Trainer/Researcher",D308="Turkmenistan"),33,IF(AND(G308="Technical Staff",D308="Turkmenistan"),22,IF(AND(G308="Administrative staff",D308="Turkmenistan"),17,IF(AND(G308="Manager",D308="Tajikistan"),47,IF(AND(G308="Teacher/Trainer/Researcher",D308="Tajikistan"),33,IF(AND(G308="Technical Staff",D308="Tajikistan"),22,IF(AND(G308="Administrative staff",D308="Tajikistan"),17,))))))))))))))))))))))))</f>
        <v>17</v>
      </c>
      <c r="N308" s="99">
        <f>Tabla3[[#This Row],[NUMBER OF DAYS]]*Tabla3[[#This Row],[MAX. UNIT COST PER DAY]]</f>
        <v>204</v>
      </c>
      <c r="O308" s="183"/>
    </row>
    <row r="309" spans="1:34" x14ac:dyDescent="0.25">
      <c r="A309" s="94" t="s">
        <v>73</v>
      </c>
      <c r="B309" s="45" t="s">
        <v>60</v>
      </c>
      <c r="C309" s="45" t="s">
        <v>107</v>
      </c>
      <c r="D309" s="75" t="s">
        <v>93</v>
      </c>
      <c r="E309" s="75" t="s">
        <v>296</v>
      </c>
      <c r="F309" s="45" t="s">
        <v>440</v>
      </c>
      <c r="G309" s="45" t="s">
        <v>229</v>
      </c>
      <c r="H309" s="45" t="s">
        <v>213</v>
      </c>
      <c r="I309" s="45" t="s">
        <v>298</v>
      </c>
      <c r="J309" s="78">
        <v>43845</v>
      </c>
      <c r="K309" s="78">
        <v>44026</v>
      </c>
      <c r="L309" s="45">
        <v>4</v>
      </c>
      <c r="M309" s="99">
        <f t="shared" si="24"/>
        <v>17</v>
      </c>
      <c r="N309" s="99">
        <f>Tabla3[[#This Row],[NUMBER OF DAYS]]*Tabla3[[#This Row],[MAX. UNIT COST PER DAY]]</f>
        <v>68</v>
      </c>
      <c r="O309" s="183"/>
      <c r="P309" s="152"/>
      <c r="Q309" s="152"/>
      <c r="R309" s="152"/>
      <c r="S309" s="152"/>
      <c r="T309" s="152"/>
      <c r="U309" s="152"/>
      <c r="V309" s="152"/>
      <c r="W309" s="152"/>
      <c r="X309" s="152"/>
      <c r="Y309" s="152"/>
      <c r="Z309" s="152"/>
      <c r="AA309" s="152"/>
      <c r="AB309" s="152"/>
      <c r="AC309" s="152"/>
      <c r="AD309" s="152"/>
      <c r="AE309" s="152"/>
      <c r="AF309" s="152"/>
      <c r="AG309" s="152"/>
      <c r="AH309" s="152"/>
    </row>
    <row r="310" spans="1:34" x14ac:dyDescent="0.25">
      <c r="A310" s="94" t="s">
        <v>74</v>
      </c>
      <c r="B310" s="45" t="s">
        <v>60</v>
      </c>
      <c r="C310" s="45" t="s">
        <v>107</v>
      </c>
      <c r="D310" s="75" t="s">
        <v>93</v>
      </c>
      <c r="E310" s="75" t="s">
        <v>302</v>
      </c>
      <c r="F310" s="45" t="s">
        <v>299</v>
      </c>
      <c r="G310" s="45" t="s">
        <v>47</v>
      </c>
      <c r="H310" s="45" t="s">
        <v>210</v>
      </c>
      <c r="I310" s="45" t="s">
        <v>300</v>
      </c>
      <c r="J310" s="78">
        <v>43845</v>
      </c>
      <c r="K310" s="78">
        <v>44026</v>
      </c>
      <c r="L310" s="45">
        <v>13</v>
      </c>
      <c r="M310" s="99">
        <f t="shared" si="24"/>
        <v>47</v>
      </c>
      <c r="N310" s="99">
        <f>Tabla3[[#This Row],[NUMBER OF DAYS]]*Tabla3[[#This Row],[MAX. UNIT COST PER DAY]]</f>
        <v>611</v>
      </c>
      <c r="O310" s="183"/>
      <c r="P310" s="152"/>
      <c r="Q310" s="152"/>
      <c r="R310" s="152"/>
      <c r="S310" s="152"/>
      <c r="T310" s="152"/>
      <c r="U310" s="152"/>
      <c r="V310" s="152"/>
      <c r="W310" s="152"/>
      <c r="X310" s="152"/>
      <c r="Y310" s="152"/>
      <c r="Z310" s="152"/>
      <c r="AA310" s="152"/>
      <c r="AB310" s="152"/>
      <c r="AC310" s="152"/>
      <c r="AD310" s="152"/>
      <c r="AE310" s="152"/>
      <c r="AF310" s="152"/>
      <c r="AG310" s="152"/>
      <c r="AH310" s="152"/>
    </row>
    <row r="311" spans="1:34" x14ac:dyDescent="0.25">
      <c r="A311" s="94" t="s">
        <v>23</v>
      </c>
      <c r="B311" s="45" t="s">
        <v>60</v>
      </c>
      <c r="C311" s="45" t="s">
        <v>107</v>
      </c>
      <c r="D311" s="75" t="s">
        <v>93</v>
      </c>
      <c r="E311" s="75" t="s">
        <v>302</v>
      </c>
      <c r="F311" s="45" t="s">
        <v>299</v>
      </c>
      <c r="G311" s="45" t="s">
        <v>47</v>
      </c>
      <c r="H311" s="45" t="s">
        <v>211</v>
      </c>
      <c r="I311" s="45" t="s">
        <v>301</v>
      </c>
      <c r="J311" s="78">
        <v>43845</v>
      </c>
      <c r="K311" s="78">
        <v>44026</v>
      </c>
      <c r="L311" s="45">
        <v>3</v>
      </c>
      <c r="M311" s="99">
        <f t="shared" si="24"/>
        <v>47</v>
      </c>
      <c r="N311" s="99">
        <f>Tabla3[[#This Row],[NUMBER OF DAYS]]*Tabla3[[#This Row],[MAX. UNIT COST PER DAY]]</f>
        <v>141</v>
      </c>
      <c r="O311" s="183"/>
      <c r="P311" s="152"/>
      <c r="Q311" s="152"/>
      <c r="R311" s="152"/>
      <c r="S311" s="152"/>
      <c r="T311" s="152"/>
      <c r="U311" s="152"/>
      <c r="V311" s="152"/>
      <c r="W311" s="152"/>
      <c r="X311" s="152"/>
      <c r="Y311" s="152"/>
      <c r="Z311" s="152"/>
      <c r="AA311" s="152"/>
      <c r="AB311" s="152"/>
      <c r="AC311" s="152"/>
      <c r="AD311" s="152"/>
      <c r="AE311" s="152"/>
      <c r="AF311" s="152"/>
      <c r="AG311" s="152"/>
      <c r="AH311" s="152"/>
    </row>
    <row r="312" spans="1:34" x14ac:dyDescent="0.25">
      <c r="A312" s="94" t="s">
        <v>24</v>
      </c>
      <c r="B312" s="45" t="s">
        <v>60</v>
      </c>
      <c r="C312" s="45" t="s">
        <v>107</v>
      </c>
      <c r="D312" s="75" t="s">
        <v>93</v>
      </c>
      <c r="E312" s="75" t="s">
        <v>304</v>
      </c>
      <c r="F312" s="45" t="s">
        <v>303</v>
      </c>
      <c r="G312" s="45" t="s">
        <v>48</v>
      </c>
      <c r="H312" s="45" t="s">
        <v>211</v>
      </c>
      <c r="I312" s="45" t="s">
        <v>305</v>
      </c>
      <c r="J312" s="78">
        <v>43845</v>
      </c>
      <c r="K312" s="78">
        <v>44026</v>
      </c>
      <c r="L312" s="45">
        <v>13</v>
      </c>
      <c r="M312" s="99">
        <f t="shared" si="24"/>
        <v>33</v>
      </c>
      <c r="N312" s="99">
        <f>Tabla3[[#This Row],[NUMBER OF DAYS]]*Tabla3[[#This Row],[MAX. UNIT COST PER DAY]]</f>
        <v>429</v>
      </c>
      <c r="O312" s="183"/>
      <c r="P312" s="152"/>
      <c r="Q312" s="152"/>
      <c r="R312" s="152"/>
      <c r="S312" s="152"/>
      <c r="T312" s="152"/>
      <c r="U312" s="152"/>
      <c r="V312" s="152"/>
      <c r="W312" s="152"/>
      <c r="X312" s="152"/>
      <c r="Y312" s="152"/>
      <c r="Z312" s="152"/>
      <c r="AA312" s="152"/>
      <c r="AB312" s="152"/>
      <c r="AC312" s="152"/>
      <c r="AD312" s="152"/>
      <c r="AE312" s="152"/>
      <c r="AF312" s="152"/>
      <c r="AG312" s="152"/>
      <c r="AH312" s="152"/>
    </row>
    <row r="313" spans="1:34" x14ac:dyDescent="0.25">
      <c r="A313" s="94" t="s">
        <v>74</v>
      </c>
      <c r="B313" s="45" t="s">
        <v>60</v>
      </c>
      <c r="C313" s="45" t="s">
        <v>107</v>
      </c>
      <c r="D313" s="75" t="s">
        <v>93</v>
      </c>
      <c r="E313" s="75" t="s">
        <v>306</v>
      </c>
      <c r="F313" s="45" t="s">
        <v>440</v>
      </c>
      <c r="G313" s="45" t="s">
        <v>229</v>
      </c>
      <c r="H313" s="45" t="s">
        <v>210</v>
      </c>
      <c r="I313" s="45" t="s">
        <v>307</v>
      </c>
      <c r="J313" s="78">
        <v>44027</v>
      </c>
      <c r="K313" s="78">
        <v>44210</v>
      </c>
      <c r="L313" s="45">
        <v>7</v>
      </c>
      <c r="M313" s="99">
        <f t="shared" si="24"/>
        <v>17</v>
      </c>
      <c r="N313" s="99">
        <f>Tabla3[[#This Row],[NUMBER OF DAYS]]*Tabla3[[#This Row],[MAX. UNIT COST PER DAY]]</f>
        <v>119</v>
      </c>
      <c r="O313" s="183"/>
      <c r="P313" s="152"/>
      <c r="Q313" s="152"/>
      <c r="R313" s="152"/>
      <c r="S313" s="152"/>
      <c r="T313" s="152"/>
      <c r="U313" s="152"/>
      <c r="V313" s="152"/>
      <c r="W313" s="152"/>
      <c r="X313" s="152"/>
      <c r="Y313" s="152"/>
      <c r="Z313" s="152"/>
      <c r="AA313" s="152"/>
      <c r="AB313" s="152"/>
      <c r="AC313" s="152"/>
      <c r="AD313" s="152"/>
      <c r="AE313" s="152"/>
      <c r="AF313" s="152"/>
      <c r="AG313" s="152"/>
      <c r="AH313" s="152"/>
    </row>
    <row r="314" spans="1:34" x14ac:dyDescent="0.25">
      <c r="A314" s="94" t="s">
        <v>73</v>
      </c>
      <c r="B314" s="45" t="s">
        <v>60</v>
      </c>
      <c r="C314" s="45" t="s">
        <v>107</v>
      </c>
      <c r="D314" s="75" t="s">
        <v>93</v>
      </c>
      <c r="E314" s="75" t="s">
        <v>306</v>
      </c>
      <c r="F314" s="45" t="s">
        <v>440</v>
      </c>
      <c r="G314" s="45" t="s">
        <v>229</v>
      </c>
      <c r="H314" s="45" t="s">
        <v>213</v>
      </c>
      <c r="I314" s="45" t="s">
        <v>308</v>
      </c>
      <c r="J314" s="78">
        <v>44027</v>
      </c>
      <c r="K314" s="78">
        <v>44210</v>
      </c>
      <c r="L314" s="45">
        <v>2</v>
      </c>
      <c r="M314" s="99">
        <f t="shared" si="24"/>
        <v>17</v>
      </c>
      <c r="N314" s="99">
        <f>Tabla3[[#This Row],[NUMBER OF DAYS]]*Tabla3[[#This Row],[MAX. UNIT COST PER DAY]]</f>
        <v>34</v>
      </c>
      <c r="O314" s="183"/>
      <c r="P314" s="152"/>
      <c r="Q314" s="152"/>
      <c r="R314" s="152"/>
      <c r="S314" s="152"/>
      <c r="T314" s="152"/>
      <c r="U314" s="152"/>
      <c r="V314" s="152"/>
      <c r="W314" s="152"/>
      <c r="X314" s="152"/>
      <c r="Y314" s="152"/>
      <c r="Z314" s="152"/>
      <c r="AA314" s="152"/>
      <c r="AB314" s="152"/>
      <c r="AC314" s="152"/>
      <c r="AD314" s="152"/>
      <c r="AE314" s="152"/>
      <c r="AF314" s="152"/>
      <c r="AG314" s="152"/>
      <c r="AH314" s="152"/>
    </row>
    <row r="315" spans="1:34" x14ac:dyDescent="0.25">
      <c r="A315" s="94" t="s">
        <v>72</v>
      </c>
      <c r="B315" s="45" t="s">
        <v>60</v>
      </c>
      <c r="C315" s="45" t="s">
        <v>107</v>
      </c>
      <c r="D315" s="75" t="s">
        <v>93</v>
      </c>
      <c r="E315" s="75" t="s">
        <v>306</v>
      </c>
      <c r="F315" s="45" t="s">
        <v>440</v>
      </c>
      <c r="G315" s="45" t="s">
        <v>229</v>
      </c>
      <c r="H315" s="45" t="s">
        <v>212</v>
      </c>
      <c r="I315" s="45" t="s">
        <v>309</v>
      </c>
      <c r="J315" s="78">
        <v>44027</v>
      </c>
      <c r="K315" s="78">
        <v>44210</v>
      </c>
      <c r="L315" s="45">
        <v>1</v>
      </c>
      <c r="M315" s="99">
        <f t="shared" si="24"/>
        <v>17</v>
      </c>
      <c r="N315" s="99">
        <f>Tabla3[[#This Row],[NUMBER OF DAYS]]*Tabla3[[#This Row],[MAX. UNIT COST PER DAY]]</f>
        <v>17</v>
      </c>
      <c r="O315" s="183"/>
      <c r="P315" s="152"/>
      <c r="Q315" s="152"/>
      <c r="R315" s="152"/>
      <c r="S315" s="152"/>
      <c r="T315" s="152"/>
      <c r="U315" s="152"/>
      <c r="V315" s="152"/>
      <c r="W315" s="152"/>
      <c r="X315" s="152"/>
      <c r="Y315" s="152"/>
      <c r="Z315" s="152"/>
      <c r="AA315" s="152"/>
      <c r="AB315" s="152"/>
      <c r="AC315" s="152"/>
      <c r="AD315" s="152"/>
      <c r="AE315" s="152"/>
      <c r="AF315" s="152"/>
      <c r="AG315" s="152"/>
      <c r="AH315" s="152"/>
    </row>
    <row r="316" spans="1:34" x14ac:dyDescent="0.25">
      <c r="A316" s="94" t="s">
        <v>74</v>
      </c>
      <c r="B316" s="45" t="s">
        <v>60</v>
      </c>
      <c r="C316" s="45" t="s">
        <v>107</v>
      </c>
      <c r="D316" s="75" t="s">
        <v>93</v>
      </c>
      <c r="E316" s="75" t="s">
        <v>312</v>
      </c>
      <c r="F316" s="45" t="s">
        <v>299</v>
      </c>
      <c r="G316" s="45" t="s">
        <v>47</v>
      </c>
      <c r="H316" s="45" t="s">
        <v>210</v>
      </c>
      <c r="I316" s="45" t="s">
        <v>310</v>
      </c>
      <c r="J316" s="78">
        <v>44027</v>
      </c>
      <c r="K316" s="78">
        <v>44210</v>
      </c>
      <c r="L316" s="45">
        <v>4</v>
      </c>
      <c r="M316" s="99">
        <f t="shared" si="24"/>
        <v>47</v>
      </c>
      <c r="N316" s="99">
        <f>Tabla3[[#This Row],[NUMBER OF DAYS]]*Tabla3[[#This Row],[MAX. UNIT COST PER DAY]]</f>
        <v>188</v>
      </c>
      <c r="O316" s="183"/>
      <c r="P316" s="152"/>
      <c r="Q316" s="152"/>
      <c r="R316" s="152"/>
      <c r="S316" s="152"/>
      <c r="T316" s="152"/>
      <c r="U316" s="152"/>
      <c r="V316" s="152"/>
      <c r="W316" s="152"/>
      <c r="X316" s="152"/>
      <c r="Y316" s="152"/>
      <c r="Z316" s="152"/>
      <c r="AA316" s="152"/>
      <c r="AB316" s="152"/>
      <c r="AC316" s="152"/>
      <c r="AD316" s="152"/>
      <c r="AE316" s="152"/>
      <c r="AF316" s="152"/>
      <c r="AG316" s="152"/>
      <c r="AH316" s="152"/>
    </row>
    <row r="317" spans="1:34" x14ac:dyDescent="0.25">
      <c r="A317" s="94" t="s">
        <v>23</v>
      </c>
      <c r="B317" s="45" t="s">
        <v>60</v>
      </c>
      <c r="C317" s="45" t="s">
        <v>107</v>
      </c>
      <c r="D317" s="75" t="s">
        <v>93</v>
      </c>
      <c r="E317" s="75" t="s">
        <v>312</v>
      </c>
      <c r="F317" s="45" t="s">
        <v>299</v>
      </c>
      <c r="G317" s="45" t="s">
        <v>47</v>
      </c>
      <c r="H317" s="45" t="s">
        <v>211</v>
      </c>
      <c r="I317" s="45" t="s">
        <v>311</v>
      </c>
      <c r="J317" s="78">
        <v>44027</v>
      </c>
      <c r="K317" s="78">
        <v>44210</v>
      </c>
      <c r="L317" s="45">
        <v>2</v>
      </c>
      <c r="M317" s="99">
        <f t="shared" si="24"/>
        <v>47</v>
      </c>
      <c r="N317" s="99">
        <f>Tabla3[[#This Row],[NUMBER OF DAYS]]*Tabla3[[#This Row],[MAX. UNIT COST PER DAY]]</f>
        <v>94</v>
      </c>
      <c r="O317" s="183"/>
      <c r="P317" s="152"/>
      <c r="Q317" s="152"/>
      <c r="R317" s="152"/>
      <c r="S317" s="152"/>
      <c r="T317" s="152"/>
      <c r="U317" s="152"/>
      <c r="V317" s="152"/>
      <c r="W317" s="152"/>
      <c r="X317" s="152"/>
      <c r="Y317" s="152"/>
      <c r="Z317" s="152"/>
      <c r="AA317" s="152"/>
      <c r="AB317" s="152"/>
      <c r="AC317" s="152"/>
      <c r="AD317" s="152"/>
      <c r="AE317" s="152"/>
      <c r="AF317" s="152"/>
      <c r="AG317" s="152"/>
      <c r="AH317" s="152"/>
    </row>
    <row r="318" spans="1:34" x14ac:dyDescent="0.25">
      <c r="A318" s="94" t="s">
        <v>72</v>
      </c>
      <c r="B318" s="45" t="s">
        <v>60</v>
      </c>
      <c r="C318" s="45" t="s">
        <v>107</v>
      </c>
      <c r="D318" s="75" t="s">
        <v>93</v>
      </c>
      <c r="E318" s="75" t="s">
        <v>312</v>
      </c>
      <c r="F318" s="45" t="s">
        <v>299</v>
      </c>
      <c r="G318" s="45" t="s">
        <v>47</v>
      </c>
      <c r="H318" s="45" t="s">
        <v>212</v>
      </c>
      <c r="I318" s="45" t="s">
        <v>309</v>
      </c>
      <c r="J318" s="78">
        <v>44027</v>
      </c>
      <c r="K318" s="78">
        <v>44210</v>
      </c>
      <c r="L318" s="45">
        <v>3</v>
      </c>
      <c r="M318" s="99">
        <f t="shared" si="24"/>
        <v>47</v>
      </c>
      <c r="N318" s="99">
        <f>Tabla3[[#This Row],[NUMBER OF DAYS]]*Tabla3[[#This Row],[MAX. UNIT COST PER DAY]]</f>
        <v>141</v>
      </c>
      <c r="O318" s="183"/>
      <c r="P318" s="152"/>
      <c r="Q318" s="152"/>
      <c r="R318" s="152"/>
      <c r="S318" s="152"/>
      <c r="T318" s="152"/>
      <c r="U318" s="152"/>
      <c r="V318" s="152"/>
      <c r="W318" s="152"/>
      <c r="X318" s="152"/>
      <c r="Y318" s="152"/>
      <c r="Z318" s="152"/>
      <c r="AA318" s="152"/>
      <c r="AB318" s="152"/>
      <c r="AC318" s="152"/>
      <c r="AD318" s="152"/>
      <c r="AE318" s="152"/>
      <c r="AF318" s="152"/>
      <c r="AG318" s="152"/>
      <c r="AH318" s="152"/>
    </row>
    <row r="319" spans="1:34" x14ac:dyDescent="0.25">
      <c r="A319" s="94" t="s">
        <v>24</v>
      </c>
      <c r="B319" s="45" t="s">
        <v>60</v>
      </c>
      <c r="C319" s="45" t="s">
        <v>107</v>
      </c>
      <c r="D319" s="75" t="s">
        <v>93</v>
      </c>
      <c r="E319" s="75" t="s">
        <v>314</v>
      </c>
      <c r="F319" s="45" t="s">
        <v>303</v>
      </c>
      <c r="G319" s="45" t="s">
        <v>48</v>
      </c>
      <c r="H319" s="45" t="s">
        <v>225</v>
      </c>
      <c r="I319" s="45" t="s">
        <v>313</v>
      </c>
      <c r="J319" s="78">
        <v>44027</v>
      </c>
      <c r="K319" s="78">
        <v>44210</v>
      </c>
      <c r="L319" s="45">
        <v>12</v>
      </c>
      <c r="M319" s="99">
        <f t="shared" si="24"/>
        <v>33</v>
      </c>
      <c r="N319" s="99">
        <f>Tabla3[[#This Row],[NUMBER OF DAYS]]*Tabla3[[#This Row],[MAX. UNIT COST PER DAY]]</f>
        <v>396</v>
      </c>
      <c r="O319" s="183"/>
      <c r="P319" s="152"/>
      <c r="Q319" s="152"/>
      <c r="R319" s="152"/>
      <c r="S319" s="152"/>
      <c r="T319" s="152"/>
      <c r="U319" s="152"/>
      <c r="V319" s="152"/>
      <c r="W319" s="152"/>
      <c r="X319" s="152"/>
      <c r="Y319" s="152"/>
      <c r="Z319" s="152"/>
      <c r="AA319" s="152"/>
      <c r="AB319" s="152"/>
      <c r="AC319" s="152"/>
      <c r="AD319" s="152"/>
      <c r="AE319" s="152"/>
      <c r="AF319" s="152"/>
      <c r="AG319" s="152"/>
      <c r="AH319" s="152"/>
    </row>
    <row r="320" spans="1:34" x14ac:dyDescent="0.25">
      <c r="A320" s="194" t="s">
        <v>74</v>
      </c>
      <c r="B320" s="45" t="s">
        <v>60</v>
      </c>
      <c r="C320" s="45" t="s">
        <v>107</v>
      </c>
      <c r="D320" s="75" t="s">
        <v>93</v>
      </c>
      <c r="E320" s="75" t="s">
        <v>540</v>
      </c>
      <c r="F320" s="45" t="s">
        <v>440</v>
      </c>
      <c r="G320" s="192" t="s">
        <v>229</v>
      </c>
      <c r="H320" s="45" t="s">
        <v>210</v>
      </c>
      <c r="I320" s="192" t="s">
        <v>541</v>
      </c>
      <c r="J320" s="196">
        <v>44211</v>
      </c>
      <c r="K320" s="196">
        <v>44391</v>
      </c>
      <c r="L320" s="192">
        <v>4</v>
      </c>
      <c r="M320" s="99">
        <f t="shared" si="24"/>
        <v>17</v>
      </c>
      <c r="N320" s="99">
        <f>Tabla3[[#This Row],[NUMBER OF DAYS]]*Tabla3[[#This Row],[MAX. UNIT COST PER DAY]]</f>
        <v>68</v>
      </c>
      <c r="O320" s="183"/>
      <c r="P320" s="188"/>
      <c r="Q320" s="188"/>
      <c r="R320" s="188"/>
      <c r="S320" s="188"/>
      <c r="T320" s="188"/>
      <c r="U320" s="188"/>
      <c r="V320" s="188"/>
      <c r="W320" s="188"/>
      <c r="X320" s="188"/>
      <c r="Y320" s="188"/>
      <c r="Z320" s="188"/>
      <c r="AA320" s="188"/>
      <c r="AB320" s="188"/>
      <c r="AC320" s="188"/>
      <c r="AD320" s="188"/>
      <c r="AE320" s="188"/>
      <c r="AF320" s="188"/>
      <c r="AG320" s="188"/>
      <c r="AH320" s="188"/>
    </row>
    <row r="321" spans="1:34" x14ac:dyDescent="0.25">
      <c r="A321" s="194" t="s">
        <v>72</v>
      </c>
      <c r="B321" s="45" t="s">
        <v>60</v>
      </c>
      <c r="C321" s="45" t="s">
        <v>107</v>
      </c>
      <c r="D321" s="75" t="s">
        <v>93</v>
      </c>
      <c r="E321" s="75" t="s">
        <v>540</v>
      </c>
      <c r="F321" s="45" t="s">
        <v>440</v>
      </c>
      <c r="G321" s="192" t="s">
        <v>229</v>
      </c>
      <c r="H321" s="45" t="s">
        <v>212</v>
      </c>
      <c r="I321" s="45" t="s">
        <v>542</v>
      </c>
      <c r="J321" s="196">
        <v>44211</v>
      </c>
      <c r="K321" s="196">
        <v>44391</v>
      </c>
      <c r="L321" s="192">
        <v>2</v>
      </c>
      <c r="M321" s="99">
        <f t="shared" si="24"/>
        <v>17</v>
      </c>
      <c r="N321" s="99">
        <f>Tabla3[[#This Row],[NUMBER OF DAYS]]*Tabla3[[#This Row],[MAX. UNIT COST PER DAY]]</f>
        <v>34</v>
      </c>
      <c r="O321" s="183"/>
      <c r="P321" s="188"/>
      <c r="Q321" s="188"/>
      <c r="R321" s="188"/>
      <c r="S321" s="188"/>
      <c r="T321" s="188"/>
      <c r="U321" s="188"/>
      <c r="V321" s="188"/>
      <c r="W321" s="188"/>
      <c r="X321" s="188"/>
      <c r="Y321" s="188"/>
      <c r="Z321" s="188"/>
      <c r="AA321" s="188"/>
      <c r="AB321" s="188"/>
      <c r="AC321" s="188"/>
      <c r="AD321" s="188"/>
      <c r="AE321" s="188"/>
      <c r="AF321" s="188"/>
      <c r="AG321" s="188"/>
      <c r="AH321" s="188"/>
    </row>
    <row r="322" spans="1:34" x14ac:dyDescent="0.25">
      <c r="A322" s="194" t="s">
        <v>74</v>
      </c>
      <c r="B322" s="45" t="s">
        <v>60</v>
      </c>
      <c r="C322" s="45" t="s">
        <v>107</v>
      </c>
      <c r="D322" s="75" t="s">
        <v>93</v>
      </c>
      <c r="E322" s="75" t="s">
        <v>543</v>
      </c>
      <c r="F322" s="45" t="s">
        <v>299</v>
      </c>
      <c r="G322" s="192" t="s">
        <v>47</v>
      </c>
      <c r="H322" s="45" t="s">
        <v>210</v>
      </c>
      <c r="I322" s="45" t="s">
        <v>544</v>
      </c>
      <c r="J322" s="196">
        <v>44211</v>
      </c>
      <c r="K322" s="196">
        <v>44391</v>
      </c>
      <c r="L322" s="192">
        <v>9</v>
      </c>
      <c r="M322" s="99">
        <f t="shared" si="24"/>
        <v>47</v>
      </c>
      <c r="N322" s="99">
        <f>Tabla3[[#This Row],[NUMBER OF DAYS]]*Tabla3[[#This Row],[MAX. UNIT COST PER DAY]]</f>
        <v>423</v>
      </c>
      <c r="O322" s="183"/>
      <c r="P322" s="188"/>
      <c r="Q322" s="188"/>
      <c r="R322" s="188"/>
      <c r="S322" s="188"/>
      <c r="T322" s="188"/>
      <c r="U322" s="188"/>
      <c r="V322" s="188"/>
      <c r="W322" s="188"/>
      <c r="X322" s="188"/>
      <c r="Y322" s="188"/>
      <c r="Z322" s="188"/>
      <c r="AA322" s="188"/>
      <c r="AB322" s="188"/>
      <c r="AC322" s="188"/>
      <c r="AD322" s="188"/>
      <c r="AE322" s="188"/>
      <c r="AF322" s="188"/>
      <c r="AG322" s="188"/>
      <c r="AH322" s="188"/>
    </row>
    <row r="323" spans="1:34" x14ac:dyDescent="0.25">
      <c r="A323" s="94" t="s">
        <v>24</v>
      </c>
      <c r="B323" s="45" t="s">
        <v>60</v>
      </c>
      <c r="C323" s="45" t="s">
        <v>107</v>
      </c>
      <c r="D323" s="75" t="s">
        <v>93</v>
      </c>
      <c r="E323" s="75" t="s">
        <v>546</v>
      </c>
      <c r="F323" s="45" t="s">
        <v>303</v>
      </c>
      <c r="G323" s="45" t="s">
        <v>48</v>
      </c>
      <c r="H323" s="45" t="s">
        <v>225</v>
      </c>
      <c r="I323" s="45" t="s">
        <v>545</v>
      </c>
      <c r="J323" s="196">
        <v>44211</v>
      </c>
      <c r="K323" s="196">
        <v>44391</v>
      </c>
      <c r="L323" s="45">
        <v>5</v>
      </c>
      <c r="M323" s="99">
        <f t="shared" si="24"/>
        <v>33</v>
      </c>
      <c r="N323" s="99">
        <f>Tabla3[[#This Row],[NUMBER OF DAYS]]*Tabla3[[#This Row],[MAX. UNIT COST PER DAY]]</f>
        <v>165</v>
      </c>
      <c r="O323" s="183"/>
      <c r="P323" s="188"/>
      <c r="Q323" s="188"/>
      <c r="R323" s="188"/>
      <c r="S323" s="188"/>
      <c r="T323" s="188"/>
      <c r="U323" s="188"/>
      <c r="V323" s="188"/>
      <c r="W323" s="188"/>
      <c r="X323" s="188"/>
      <c r="Y323" s="188"/>
      <c r="Z323" s="188"/>
      <c r="AA323" s="188"/>
      <c r="AB323" s="188"/>
      <c r="AC323" s="188"/>
      <c r="AD323" s="188"/>
      <c r="AE323" s="188"/>
      <c r="AF323" s="188"/>
      <c r="AG323" s="188"/>
      <c r="AH323" s="188"/>
    </row>
    <row r="324" spans="1:34" x14ac:dyDescent="0.25">
      <c r="A324" s="89"/>
      <c r="B324" s="66"/>
      <c r="C324" s="66"/>
      <c r="D324" s="69"/>
      <c r="E324" s="91"/>
      <c r="F324" s="89"/>
      <c r="G324" s="89"/>
      <c r="H324" s="89"/>
      <c r="I324" s="89"/>
      <c r="J324" s="91"/>
      <c r="K324" s="91"/>
      <c r="L324" s="89"/>
      <c r="M324" s="89"/>
      <c r="N324" s="89"/>
    </row>
    <row r="325" spans="1:34" x14ac:dyDescent="0.25">
      <c r="A325" s="45" t="s">
        <v>23</v>
      </c>
      <c r="B325" s="45" t="s">
        <v>61</v>
      </c>
      <c r="C325" s="45" t="s">
        <v>129</v>
      </c>
      <c r="D325" s="75" t="s">
        <v>93</v>
      </c>
      <c r="E325" s="75" t="s">
        <v>260</v>
      </c>
      <c r="F325" s="45" t="s">
        <v>116</v>
      </c>
      <c r="G325" s="45" t="s">
        <v>47</v>
      </c>
      <c r="H325" s="45" t="s">
        <v>211</v>
      </c>
      <c r="I325" s="45" t="s">
        <v>262</v>
      </c>
      <c r="J325" s="78">
        <v>43845</v>
      </c>
      <c r="K325" s="78">
        <v>44026</v>
      </c>
      <c r="L325" s="45">
        <v>4</v>
      </c>
      <c r="M325" s="99">
        <f t="shared" ref="M325:M342" si="25">IF(AND(G325="Manager",D325="Spain"),164,IF(AND(G325="Teacher/Trainer/Researcher",D325="Spain"),137,IF(AND(G325="Technical Staff",D325="Spain"),102,IF(AND(G325="Administrative staff",D325="Spain"),78,IF(AND(G325="Manager",D325="Slovenia"),164,IF(AND(G325="Teacher/Trainer/Researcher",D325="Slovenia"),137,IF(AND(G325="Technical Staff",D325="Slovenia"),102,IF(AND(G325="Administrative staff",D325="Slovenia"),78,IF(AND(G325="Manager",D325="Italy"),280,IF(AND(G325="Teacher/Trainer/Researcher",D325="Italy"),214,IF(AND(G325="Technical Staff",D325="Italy"),162,IF(AND(G325="Administrative staff",D325="Italy"),131,IF(AND(G325="Manager",D325="Kazakhstan"),77,IF(AND(G325="Teacher/Trainer/Researcher",D325="Kazakhstan"),57,IF(AND(G325="Technical Staff",D325="Kazakhstan"),40,IF(AND(G325="Administrative staff",D325="Kazakhstan"),32,IF(AND(G325="Manager",D325="Turkmenistan"),47,IF(AND(G325="Teacher/Trainer/Researcher",D325="Turkmenistan"),33,IF(AND(G325="Technical Staff",D325="Turkmenistan"),22,IF(AND(G325="Administrative staff",D325="Turkmenistan"),17,IF(AND(G325="Manager",D325="Tajikistan"),47,IF(AND(G325="Teacher/Trainer/Researcher",D325="Tajikistan"),33,IF(AND(G325="Technical Staff",D325="Tajikistan"),22,IF(AND(G325="Administrative staff",D325="Tajikistan"),17,))))))))))))))))))))))))</f>
        <v>47</v>
      </c>
      <c r="N325" s="99">
        <f>Tabla3[[#This Row],[NUMBER OF DAYS]]*Tabla3[[#This Row],[MAX. UNIT COST PER DAY]]</f>
        <v>188</v>
      </c>
      <c r="O325" s="162"/>
    </row>
    <row r="326" spans="1:34" x14ac:dyDescent="0.25">
      <c r="A326" s="157" t="s">
        <v>24</v>
      </c>
      <c r="B326" s="45" t="s">
        <v>61</v>
      </c>
      <c r="C326" s="45" t="s">
        <v>129</v>
      </c>
      <c r="D326" s="75" t="s">
        <v>93</v>
      </c>
      <c r="E326" s="75" t="s">
        <v>260</v>
      </c>
      <c r="F326" s="45" t="s">
        <v>116</v>
      </c>
      <c r="G326" s="45" t="s">
        <v>47</v>
      </c>
      <c r="H326" s="45" t="s">
        <v>225</v>
      </c>
      <c r="I326" s="158" t="s">
        <v>263</v>
      </c>
      <c r="J326" s="78">
        <v>43845</v>
      </c>
      <c r="K326" s="78">
        <v>44026</v>
      </c>
      <c r="L326" s="158">
        <v>7</v>
      </c>
      <c r="M326" s="99">
        <f t="shared" si="25"/>
        <v>47</v>
      </c>
      <c r="N326" s="160">
        <f>Tabla3[[#This Row],[NUMBER OF DAYS]]*Tabla3[[#This Row],[MAX. UNIT COST PER DAY]]</f>
        <v>329</v>
      </c>
      <c r="O326" s="162"/>
      <c r="P326" s="152"/>
      <c r="Q326" s="152"/>
      <c r="R326" s="152"/>
      <c r="S326" s="152"/>
      <c r="T326" s="152"/>
      <c r="U326" s="152"/>
      <c r="V326" s="152"/>
      <c r="W326" s="152"/>
      <c r="X326" s="152"/>
      <c r="Y326" s="152"/>
      <c r="Z326" s="152"/>
      <c r="AA326" s="152"/>
      <c r="AB326" s="152"/>
      <c r="AC326" s="152"/>
      <c r="AD326" s="152"/>
      <c r="AE326" s="152"/>
      <c r="AF326" s="152"/>
      <c r="AG326" s="152"/>
      <c r="AH326" s="152"/>
    </row>
    <row r="327" spans="1:34" x14ac:dyDescent="0.25">
      <c r="A327" s="157" t="s">
        <v>73</v>
      </c>
      <c r="B327" s="45" t="s">
        <v>61</v>
      </c>
      <c r="C327" s="45" t="s">
        <v>129</v>
      </c>
      <c r="D327" s="75" t="s">
        <v>93</v>
      </c>
      <c r="E327" s="75" t="s">
        <v>260</v>
      </c>
      <c r="F327" s="45" t="s">
        <v>116</v>
      </c>
      <c r="G327" s="45" t="s">
        <v>47</v>
      </c>
      <c r="H327" s="45" t="s">
        <v>213</v>
      </c>
      <c r="I327" s="158" t="s">
        <v>264</v>
      </c>
      <c r="J327" s="78">
        <v>43845</v>
      </c>
      <c r="K327" s="78">
        <v>44026</v>
      </c>
      <c r="L327" s="158">
        <v>5</v>
      </c>
      <c r="M327" s="99">
        <f t="shared" si="25"/>
        <v>47</v>
      </c>
      <c r="N327" s="160">
        <f>Tabla3[[#This Row],[NUMBER OF DAYS]]*Tabla3[[#This Row],[MAX. UNIT COST PER DAY]]</f>
        <v>235</v>
      </c>
      <c r="O327" s="162"/>
      <c r="P327" s="152"/>
      <c r="Q327" s="152"/>
      <c r="R327" s="152"/>
      <c r="S327" s="152"/>
      <c r="T327" s="152"/>
      <c r="U327" s="152"/>
      <c r="V327" s="152"/>
      <c r="W327" s="152"/>
      <c r="X327" s="152"/>
      <c r="Y327" s="152"/>
      <c r="Z327" s="152"/>
      <c r="AA327" s="152"/>
      <c r="AB327" s="152"/>
      <c r="AC327" s="152"/>
      <c r="AD327" s="152"/>
      <c r="AE327" s="152"/>
      <c r="AF327" s="152"/>
      <c r="AG327" s="152"/>
      <c r="AH327" s="152"/>
    </row>
    <row r="328" spans="1:34" x14ac:dyDescent="0.25">
      <c r="A328" s="157" t="s">
        <v>74</v>
      </c>
      <c r="B328" s="45" t="s">
        <v>61</v>
      </c>
      <c r="C328" s="45" t="s">
        <v>129</v>
      </c>
      <c r="D328" s="75" t="s">
        <v>93</v>
      </c>
      <c r="E328" s="75" t="s">
        <v>260</v>
      </c>
      <c r="F328" s="45" t="s">
        <v>116</v>
      </c>
      <c r="G328" s="45" t="s">
        <v>47</v>
      </c>
      <c r="H328" s="45" t="s">
        <v>210</v>
      </c>
      <c r="I328" s="158" t="s">
        <v>265</v>
      </c>
      <c r="J328" s="78">
        <v>43845</v>
      </c>
      <c r="K328" s="78">
        <v>44026</v>
      </c>
      <c r="L328" s="158">
        <v>7</v>
      </c>
      <c r="M328" s="99">
        <f t="shared" si="25"/>
        <v>47</v>
      </c>
      <c r="N328" s="160">
        <f>Tabla3[[#This Row],[NUMBER OF DAYS]]*Tabla3[[#This Row],[MAX. UNIT COST PER DAY]]</f>
        <v>329</v>
      </c>
      <c r="O328" s="162"/>
      <c r="P328" s="152"/>
      <c r="Q328" s="152"/>
      <c r="R328" s="152"/>
      <c r="S328" s="152"/>
      <c r="T328" s="152"/>
      <c r="U328" s="152"/>
      <c r="V328" s="152"/>
      <c r="W328" s="152"/>
      <c r="X328" s="152"/>
      <c r="Y328" s="152"/>
      <c r="Z328" s="152"/>
      <c r="AA328" s="152"/>
      <c r="AB328" s="152"/>
      <c r="AC328" s="152"/>
      <c r="AD328" s="152"/>
      <c r="AE328" s="152"/>
      <c r="AF328" s="152"/>
      <c r="AG328" s="152"/>
      <c r="AH328" s="152"/>
    </row>
    <row r="329" spans="1:34" x14ac:dyDescent="0.25">
      <c r="A329" s="157" t="s">
        <v>23</v>
      </c>
      <c r="B329" s="45" t="s">
        <v>61</v>
      </c>
      <c r="C329" s="45" t="s">
        <v>129</v>
      </c>
      <c r="D329" s="75" t="s">
        <v>93</v>
      </c>
      <c r="E329" s="75" t="s">
        <v>267</v>
      </c>
      <c r="F329" s="158" t="s">
        <v>266</v>
      </c>
      <c r="G329" s="179" t="s">
        <v>229</v>
      </c>
      <c r="H329" s="45" t="s">
        <v>211</v>
      </c>
      <c r="I329" s="158" t="s">
        <v>424</v>
      </c>
      <c r="J329" s="78">
        <v>43845</v>
      </c>
      <c r="K329" s="78">
        <v>44026</v>
      </c>
      <c r="L329" s="158">
        <v>11</v>
      </c>
      <c r="M329" s="99">
        <f t="shared" si="25"/>
        <v>17</v>
      </c>
      <c r="N329" s="160">
        <f>Tabla3[[#This Row],[NUMBER OF DAYS]]*Tabla3[[#This Row],[MAX. UNIT COST PER DAY]]</f>
        <v>187</v>
      </c>
      <c r="O329" s="162"/>
      <c r="P329" s="152"/>
      <c r="Q329" s="152"/>
      <c r="R329" s="152"/>
      <c r="S329" s="152"/>
      <c r="T329" s="152"/>
      <c r="U329" s="152"/>
      <c r="V329" s="152"/>
      <c r="W329" s="152"/>
      <c r="X329" s="152"/>
      <c r="Y329" s="152"/>
      <c r="Z329" s="152"/>
      <c r="AA329" s="152"/>
      <c r="AB329" s="152"/>
      <c r="AC329" s="152"/>
      <c r="AD329" s="152"/>
      <c r="AE329" s="152"/>
      <c r="AF329" s="152"/>
      <c r="AG329" s="152"/>
      <c r="AH329" s="152"/>
    </row>
    <row r="330" spans="1:34" x14ac:dyDescent="0.25">
      <c r="A330" s="157" t="s">
        <v>24</v>
      </c>
      <c r="B330" s="45" t="s">
        <v>61</v>
      </c>
      <c r="C330" s="45" t="s">
        <v>129</v>
      </c>
      <c r="D330" s="75" t="s">
        <v>93</v>
      </c>
      <c r="E330" s="75" t="s">
        <v>267</v>
      </c>
      <c r="F330" s="158" t="s">
        <v>266</v>
      </c>
      <c r="G330" s="179" t="s">
        <v>229</v>
      </c>
      <c r="H330" s="45" t="s">
        <v>225</v>
      </c>
      <c r="I330" s="158" t="s">
        <v>270</v>
      </c>
      <c r="J330" s="78">
        <v>43845</v>
      </c>
      <c r="K330" s="78">
        <v>44026</v>
      </c>
      <c r="L330" s="158">
        <v>8</v>
      </c>
      <c r="M330" s="99">
        <f t="shared" si="25"/>
        <v>17</v>
      </c>
      <c r="N330" s="160">
        <f>Tabla3[[#This Row],[NUMBER OF DAYS]]*Tabla3[[#This Row],[MAX. UNIT COST PER DAY]]</f>
        <v>136</v>
      </c>
      <c r="O330" s="162"/>
      <c r="P330" s="152"/>
      <c r="Q330" s="152"/>
      <c r="R330" s="152"/>
      <c r="S330" s="152"/>
      <c r="T330" s="152"/>
      <c r="U330" s="152"/>
      <c r="V330" s="152"/>
      <c r="W330" s="152"/>
      <c r="X330" s="152"/>
      <c r="Y330" s="152"/>
      <c r="Z330" s="152"/>
      <c r="AA330" s="152"/>
      <c r="AB330" s="152"/>
      <c r="AC330" s="152"/>
      <c r="AD330" s="152"/>
      <c r="AE330" s="152"/>
      <c r="AF330" s="152"/>
      <c r="AG330" s="152"/>
      <c r="AH330" s="152"/>
    </row>
    <row r="331" spans="1:34" x14ac:dyDescent="0.25">
      <c r="A331" s="157" t="s">
        <v>73</v>
      </c>
      <c r="B331" s="45" t="s">
        <v>61</v>
      </c>
      <c r="C331" s="45" t="s">
        <v>129</v>
      </c>
      <c r="D331" s="75" t="s">
        <v>93</v>
      </c>
      <c r="E331" s="75" t="s">
        <v>267</v>
      </c>
      <c r="F331" s="158" t="s">
        <v>266</v>
      </c>
      <c r="G331" s="179" t="s">
        <v>229</v>
      </c>
      <c r="H331" s="45" t="s">
        <v>212</v>
      </c>
      <c r="I331" s="158" t="s">
        <v>425</v>
      </c>
      <c r="J331" s="78">
        <v>43845</v>
      </c>
      <c r="K331" s="78">
        <v>44026</v>
      </c>
      <c r="L331" s="158">
        <v>3</v>
      </c>
      <c r="M331" s="99">
        <f t="shared" si="25"/>
        <v>17</v>
      </c>
      <c r="N331" s="160">
        <f>Tabla3[[#This Row],[NUMBER OF DAYS]]*Tabla3[[#This Row],[MAX. UNIT COST PER DAY]]</f>
        <v>51</v>
      </c>
      <c r="O331" s="162"/>
      <c r="P331" s="152"/>
      <c r="Q331" s="152"/>
      <c r="R331" s="152"/>
      <c r="S331" s="152"/>
      <c r="T331" s="152"/>
      <c r="U331" s="152"/>
      <c r="V331" s="152"/>
      <c r="W331" s="152"/>
      <c r="X331" s="152"/>
      <c r="Y331" s="152"/>
      <c r="Z331" s="152"/>
      <c r="AA331" s="152"/>
      <c r="AB331" s="152"/>
      <c r="AC331" s="152"/>
      <c r="AD331" s="152"/>
      <c r="AE331" s="152"/>
      <c r="AF331" s="152"/>
      <c r="AG331" s="152"/>
      <c r="AH331" s="152"/>
    </row>
    <row r="332" spans="1:34" x14ac:dyDescent="0.25">
      <c r="A332" s="157" t="s">
        <v>74</v>
      </c>
      <c r="B332" s="45" t="s">
        <v>61</v>
      </c>
      <c r="C332" s="45" t="s">
        <v>129</v>
      </c>
      <c r="D332" s="75" t="s">
        <v>93</v>
      </c>
      <c r="E332" s="75" t="s">
        <v>268</v>
      </c>
      <c r="F332" s="158" t="s">
        <v>271</v>
      </c>
      <c r="G332" s="158" t="s">
        <v>47</v>
      </c>
      <c r="H332" s="45" t="s">
        <v>210</v>
      </c>
      <c r="I332" s="158" t="s">
        <v>272</v>
      </c>
      <c r="J332" s="78">
        <v>43845</v>
      </c>
      <c r="K332" s="78">
        <v>44026</v>
      </c>
      <c r="L332" s="158">
        <v>5</v>
      </c>
      <c r="M332" s="99">
        <f t="shared" si="25"/>
        <v>47</v>
      </c>
      <c r="N332" s="160">
        <f>Tabla3[[#This Row],[NUMBER OF DAYS]]*Tabla3[[#This Row],[MAX. UNIT COST PER DAY]]</f>
        <v>235</v>
      </c>
      <c r="O332" s="162"/>
      <c r="P332" s="152"/>
      <c r="Q332" s="152"/>
      <c r="R332" s="152"/>
      <c r="S332" s="152"/>
      <c r="T332" s="152"/>
      <c r="U332" s="152"/>
      <c r="V332" s="152"/>
      <c r="W332" s="152"/>
      <c r="X332" s="152"/>
      <c r="Y332" s="152"/>
      <c r="Z332" s="152"/>
      <c r="AA332" s="152"/>
      <c r="AB332" s="152"/>
      <c r="AC332" s="152"/>
      <c r="AD332" s="152"/>
      <c r="AE332" s="152"/>
      <c r="AF332" s="152"/>
      <c r="AG332" s="152"/>
      <c r="AH332" s="152"/>
    </row>
    <row r="333" spans="1:34" x14ac:dyDescent="0.25">
      <c r="A333" s="157" t="s">
        <v>24</v>
      </c>
      <c r="B333" s="45" t="s">
        <v>61</v>
      </c>
      <c r="C333" s="45" t="s">
        <v>129</v>
      </c>
      <c r="D333" s="75" t="s">
        <v>93</v>
      </c>
      <c r="E333" s="75" t="s">
        <v>269</v>
      </c>
      <c r="F333" s="158" t="s">
        <v>273</v>
      </c>
      <c r="G333" s="179" t="s">
        <v>48</v>
      </c>
      <c r="H333" s="45" t="s">
        <v>225</v>
      </c>
      <c r="I333" s="158" t="s">
        <v>274</v>
      </c>
      <c r="J333" s="161">
        <v>44027</v>
      </c>
      <c r="K333" s="161">
        <v>44210</v>
      </c>
      <c r="L333" s="158">
        <v>10</v>
      </c>
      <c r="M333" s="99">
        <f t="shared" si="25"/>
        <v>33</v>
      </c>
      <c r="N333" s="160">
        <f>Tabla3[[#This Row],[NUMBER OF DAYS]]*Tabla3[[#This Row],[MAX. UNIT COST PER DAY]]</f>
        <v>330</v>
      </c>
      <c r="O333" s="162"/>
      <c r="P333" s="152"/>
      <c r="Q333" s="152"/>
      <c r="R333" s="152"/>
      <c r="S333" s="152"/>
      <c r="T333" s="152"/>
      <c r="U333" s="152"/>
      <c r="V333" s="152"/>
      <c r="W333" s="152"/>
      <c r="X333" s="152"/>
      <c r="Y333" s="152"/>
      <c r="Z333" s="152"/>
      <c r="AA333" s="152"/>
      <c r="AB333" s="152"/>
      <c r="AC333" s="152"/>
      <c r="AD333" s="152"/>
      <c r="AE333" s="152"/>
      <c r="AF333" s="152"/>
      <c r="AG333" s="152"/>
      <c r="AH333" s="152"/>
    </row>
    <row r="334" spans="1:34" x14ac:dyDescent="0.25">
      <c r="A334" s="94" t="s">
        <v>24</v>
      </c>
      <c r="B334" s="45" t="s">
        <v>61</v>
      </c>
      <c r="C334" s="45" t="s">
        <v>129</v>
      </c>
      <c r="D334" s="75" t="s">
        <v>93</v>
      </c>
      <c r="E334" s="75" t="s">
        <v>275</v>
      </c>
      <c r="F334" s="158" t="s">
        <v>266</v>
      </c>
      <c r="G334" s="179" t="s">
        <v>229</v>
      </c>
      <c r="H334" s="45" t="s">
        <v>210</v>
      </c>
      <c r="I334" s="45" t="s">
        <v>426</v>
      </c>
      <c r="J334" s="161">
        <v>44027</v>
      </c>
      <c r="K334" s="161">
        <v>44210</v>
      </c>
      <c r="L334" s="158">
        <v>15</v>
      </c>
      <c r="M334" s="99">
        <f t="shared" si="25"/>
        <v>17</v>
      </c>
      <c r="N334" s="160">
        <f>Tabla3[[#This Row],[NUMBER OF DAYS]]*Tabla3[[#This Row],[MAX. UNIT COST PER DAY]]</f>
        <v>255</v>
      </c>
      <c r="O334" s="162"/>
      <c r="P334" s="152"/>
      <c r="Q334" s="152"/>
      <c r="R334" s="152"/>
      <c r="S334" s="152"/>
      <c r="T334" s="152"/>
      <c r="U334" s="152"/>
      <c r="V334" s="152"/>
      <c r="W334" s="152"/>
      <c r="X334" s="152"/>
      <c r="Y334" s="152"/>
      <c r="Z334" s="152"/>
      <c r="AA334" s="152"/>
      <c r="AB334" s="152"/>
      <c r="AC334" s="152"/>
      <c r="AD334" s="152"/>
      <c r="AE334" s="152"/>
      <c r="AF334" s="152"/>
      <c r="AG334" s="152"/>
      <c r="AH334" s="152"/>
    </row>
    <row r="335" spans="1:34" x14ac:dyDescent="0.25">
      <c r="A335" s="157" t="s">
        <v>74</v>
      </c>
      <c r="B335" s="45" t="s">
        <v>61</v>
      </c>
      <c r="C335" s="45" t="s">
        <v>129</v>
      </c>
      <c r="D335" s="75" t="s">
        <v>93</v>
      </c>
      <c r="E335" s="75" t="s">
        <v>277</v>
      </c>
      <c r="F335" s="45" t="s">
        <v>276</v>
      </c>
      <c r="G335" s="45" t="s">
        <v>229</v>
      </c>
      <c r="H335" s="45" t="s">
        <v>210</v>
      </c>
      <c r="I335" s="45" t="s">
        <v>278</v>
      </c>
      <c r="J335" s="161">
        <v>44027</v>
      </c>
      <c r="K335" s="161">
        <v>44210</v>
      </c>
      <c r="L335" s="158">
        <v>3</v>
      </c>
      <c r="M335" s="99">
        <f t="shared" si="25"/>
        <v>17</v>
      </c>
      <c r="N335" s="160">
        <f>Tabla3[[#This Row],[NUMBER OF DAYS]]*Tabla3[[#This Row],[MAX. UNIT COST PER DAY]]</f>
        <v>51</v>
      </c>
      <c r="O335" s="162"/>
      <c r="P335" s="152"/>
      <c r="Q335" s="152"/>
      <c r="R335" s="152"/>
      <c r="S335" s="152"/>
      <c r="T335" s="152"/>
      <c r="U335" s="152"/>
      <c r="V335" s="152"/>
      <c r="W335" s="152"/>
      <c r="X335" s="152"/>
      <c r="Y335" s="152"/>
      <c r="Z335" s="152"/>
      <c r="AA335" s="152"/>
      <c r="AB335" s="152"/>
      <c r="AC335" s="152"/>
      <c r="AD335" s="152"/>
      <c r="AE335" s="152"/>
      <c r="AF335" s="152"/>
      <c r="AG335" s="152"/>
      <c r="AH335" s="152"/>
    </row>
    <row r="336" spans="1:34" x14ac:dyDescent="0.25">
      <c r="A336" s="157" t="s">
        <v>24</v>
      </c>
      <c r="B336" s="45" t="s">
        <v>61</v>
      </c>
      <c r="C336" s="45" t="s">
        <v>129</v>
      </c>
      <c r="D336" s="75" t="s">
        <v>93</v>
      </c>
      <c r="E336" s="75" t="s">
        <v>277</v>
      </c>
      <c r="F336" s="45" t="s">
        <v>276</v>
      </c>
      <c r="G336" s="45" t="s">
        <v>229</v>
      </c>
      <c r="H336" s="45" t="s">
        <v>225</v>
      </c>
      <c r="I336" s="45" t="s">
        <v>279</v>
      </c>
      <c r="J336" s="161">
        <v>44027</v>
      </c>
      <c r="K336" s="161">
        <v>44210</v>
      </c>
      <c r="L336" s="158">
        <v>7</v>
      </c>
      <c r="M336" s="99">
        <f t="shared" si="25"/>
        <v>17</v>
      </c>
      <c r="N336" s="160">
        <f>Tabla3[[#This Row],[NUMBER OF DAYS]]*Tabla3[[#This Row],[MAX. UNIT COST PER DAY]]</f>
        <v>119</v>
      </c>
      <c r="O336" s="162"/>
      <c r="P336" s="152"/>
      <c r="Q336" s="152"/>
      <c r="R336" s="152"/>
      <c r="S336" s="152"/>
      <c r="T336" s="152"/>
      <c r="U336" s="152"/>
      <c r="V336" s="152"/>
      <c r="W336" s="152"/>
      <c r="X336" s="152"/>
      <c r="Y336" s="152"/>
      <c r="Z336" s="152"/>
      <c r="AA336" s="152"/>
      <c r="AB336" s="152"/>
      <c r="AC336" s="152"/>
      <c r="AD336" s="152"/>
      <c r="AE336" s="152"/>
      <c r="AF336" s="152"/>
      <c r="AG336" s="152"/>
      <c r="AH336" s="152"/>
    </row>
    <row r="337" spans="1:34" x14ac:dyDescent="0.25">
      <c r="A337" s="157" t="s">
        <v>74</v>
      </c>
      <c r="B337" s="45" t="s">
        <v>61</v>
      </c>
      <c r="C337" s="45" t="s">
        <v>129</v>
      </c>
      <c r="D337" s="75" t="s">
        <v>93</v>
      </c>
      <c r="E337" s="75" t="s">
        <v>280</v>
      </c>
      <c r="F337" s="45" t="s">
        <v>282</v>
      </c>
      <c r="G337" s="45" t="s">
        <v>229</v>
      </c>
      <c r="H337" s="45" t="s">
        <v>210</v>
      </c>
      <c r="I337" s="158" t="s">
        <v>281</v>
      </c>
      <c r="J337" s="161">
        <v>44027</v>
      </c>
      <c r="K337" s="161">
        <v>44210</v>
      </c>
      <c r="L337" s="158">
        <v>8</v>
      </c>
      <c r="M337" s="99">
        <f t="shared" si="25"/>
        <v>17</v>
      </c>
      <c r="N337" s="160">
        <f>Tabla3[[#This Row],[NUMBER OF DAYS]]*Tabla3[[#This Row],[MAX. UNIT COST PER DAY]]</f>
        <v>136</v>
      </c>
      <c r="O337" s="162"/>
      <c r="P337" s="152"/>
      <c r="Q337" s="152"/>
      <c r="R337" s="152"/>
      <c r="S337" s="152"/>
      <c r="T337" s="152"/>
      <c r="U337" s="152"/>
      <c r="V337" s="152"/>
      <c r="W337" s="152"/>
      <c r="X337" s="152"/>
      <c r="Y337" s="152"/>
      <c r="Z337" s="152"/>
      <c r="AA337" s="152"/>
      <c r="AB337" s="152"/>
      <c r="AC337" s="152"/>
      <c r="AD337" s="152"/>
      <c r="AE337" s="152"/>
      <c r="AF337" s="152"/>
      <c r="AG337" s="152"/>
      <c r="AH337" s="152"/>
    </row>
    <row r="338" spans="1:34" x14ac:dyDescent="0.25">
      <c r="A338" s="157" t="s">
        <v>74</v>
      </c>
      <c r="B338" s="45" t="s">
        <v>61</v>
      </c>
      <c r="C338" s="45" t="s">
        <v>129</v>
      </c>
      <c r="D338" s="75" t="s">
        <v>93</v>
      </c>
      <c r="E338" s="75" t="s">
        <v>283</v>
      </c>
      <c r="F338" s="45" t="s">
        <v>116</v>
      </c>
      <c r="G338" s="45" t="s">
        <v>47</v>
      </c>
      <c r="H338" s="45" t="s">
        <v>210</v>
      </c>
      <c r="I338" s="158" t="s">
        <v>284</v>
      </c>
      <c r="J338" s="161">
        <v>44027</v>
      </c>
      <c r="K338" s="161">
        <v>44210</v>
      </c>
      <c r="L338" s="158">
        <v>20</v>
      </c>
      <c r="M338" s="99">
        <f t="shared" si="25"/>
        <v>47</v>
      </c>
      <c r="N338" s="160">
        <f>Tabla3[[#This Row],[NUMBER OF DAYS]]*Tabla3[[#This Row],[MAX. UNIT COST PER DAY]]</f>
        <v>940</v>
      </c>
      <c r="O338" s="162"/>
      <c r="P338" s="152"/>
      <c r="Q338" s="152"/>
      <c r="R338" s="152"/>
      <c r="S338" s="152"/>
      <c r="T338" s="152"/>
      <c r="U338" s="152"/>
      <c r="V338" s="152"/>
      <c r="W338" s="152"/>
      <c r="X338" s="152"/>
      <c r="Y338" s="152"/>
      <c r="Z338" s="152"/>
      <c r="AA338" s="152"/>
      <c r="AB338" s="152"/>
      <c r="AC338" s="152"/>
      <c r="AD338" s="152"/>
      <c r="AE338" s="152"/>
      <c r="AF338" s="152"/>
      <c r="AG338" s="152"/>
      <c r="AH338" s="152"/>
    </row>
    <row r="339" spans="1:34" x14ac:dyDescent="0.25">
      <c r="A339" s="94" t="s">
        <v>24</v>
      </c>
      <c r="B339" s="45" t="s">
        <v>61</v>
      </c>
      <c r="C339" s="45" t="s">
        <v>129</v>
      </c>
      <c r="D339" s="75" t="s">
        <v>93</v>
      </c>
      <c r="E339" s="75" t="s">
        <v>580</v>
      </c>
      <c r="F339" s="158" t="s">
        <v>273</v>
      </c>
      <c r="G339" s="45" t="s">
        <v>48</v>
      </c>
      <c r="H339" s="45" t="s">
        <v>225</v>
      </c>
      <c r="I339" s="45" t="s">
        <v>579</v>
      </c>
      <c r="J339" s="196">
        <v>44211</v>
      </c>
      <c r="K339" s="196">
        <v>44391</v>
      </c>
      <c r="L339" s="45">
        <v>10</v>
      </c>
      <c r="M339" s="99">
        <f t="shared" si="25"/>
        <v>33</v>
      </c>
      <c r="N339" s="160">
        <f>Tabla3[[#This Row],[NUMBER OF DAYS]]*Tabla3[[#This Row],[MAX. UNIT COST PER DAY]]</f>
        <v>330</v>
      </c>
      <c r="O339" s="162"/>
      <c r="P339" s="188"/>
      <c r="Q339" s="188"/>
      <c r="R339" s="188"/>
      <c r="S339" s="188"/>
      <c r="T339" s="188"/>
      <c r="U339" s="188"/>
      <c r="V339" s="188"/>
      <c r="W339" s="188"/>
      <c r="X339" s="188"/>
      <c r="Y339" s="188"/>
      <c r="Z339" s="188"/>
      <c r="AA339" s="188"/>
      <c r="AB339" s="188"/>
      <c r="AC339" s="188"/>
      <c r="AD339" s="188"/>
      <c r="AE339" s="188"/>
      <c r="AF339" s="188"/>
      <c r="AG339" s="188"/>
      <c r="AH339" s="188"/>
    </row>
    <row r="340" spans="1:34" x14ac:dyDescent="0.25">
      <c r="A340" s="193" t="s">
        <v>24</v>
      </c>
      <c r="B340" s="45" t="s">
        <v>61</v>
      </c>
      <c r="C340" s="45" t="s">
        <v>129</v>
      </c>
      <c r="D340" s="75" t="s">
        <v>93</v>
      </c>
      <c r="E340" s="75" t="s">
        <v>581</v>
      </c>
      <c r="F340" s="158" t="s">
        <v>266</v>
      </c>
      <c r="G340" s="179" t="s">
        <v>229</v>
      </c>
      <c r="H340" s="179" t="s">
        <v>225</v>
      </c>
      <c r="I340" s="45" t="s">
        <v>615</v>
      </c>
      <c r="J340" s="196">
        <v>44211</v>
      </c>
      <c r="K340" s="196">
        <v>44391</v>
      </c>
      <c r="L340" s="45">
        <v>8</v>
      </c>
      <c r="M340" s="99">
        <f t="shared" si="25"/>
        <v>17</v>
      </c>
      <c r="N340" s="160">
        <f>Tabla3[[#This Row],[NUMBER OF DAYS]]*Tabla3[[#This Row],[MAX. UNIT COST PER DAY]]</f>
        <v>136</v>
      </c>
      <c r="O340" s="162"/>
      <c r="P340" s="188"/>
      <c r="Q340" s="188"/>
      <c r="R340" s="188"/>
      <c r="S340" s="188"/>
      <c r="T340" s="188"/>
      <c r="U340" s="188"/>
      <c r="V340" s="188"/>
      <c r="W340" s="188"/>
      <c r="X340" s="188"/>
      <c r="Y340" s="188"/>
      <c r="Z340" s="188"/>
      <c r="AA340" s="188"/>
      <c r="AB340" s="188"/>
      <c r="AC340" s="188"/>
      <c r="AD340" s="188"/>
      <c r="AE340" s="188"/>
      <c r="AF340" s="188"/>
      <c r="AG340" s="188"/>
      <c r="AH340" s="188"/>
    </row>
    <row r="341" spans="1:34" x14ac:dyDescent="0.25">
      <c r="A341" s="201" t="s">
        <v>72</v>
      </c>
      <c r="B341" s="45" t="s">
        <v>61</v>
      </c>
      <c r="C341" s="45" t="s">
        <v>129</v>
      </c>
      <c r="D341" s="75" t="s">
        <v>93</v>
      </c>
      <c r="E341" s="75" t="s">
        <v>581</v>
      </c>
      <c r="F341" s="158" t="s">
        <v>266</v>
      </c>
      <c r="G341" s="179" t="s">
        <v>229</v>
      </c>
      <c r="H341" s="45" t="s">
        <v>212</v>
      </c>
      <c r="I341" s="202" t="s">
        <v>616</v>
      </c>
      <c r="J341" s="196">
        <v>44211</v>
      </c>
      <c r="K341" s="196">
        <v>44391</v>
      </c>
      <c r="L341" s="202">
        <v>2</v>
      </c>
      <c r="M341" s="99">
        <f t="shared" si="25"/>
        <v>17</v>
      </c>
      <c r="N341" s="160">
        <f>Tabla3[[#This Row],[NUMBER OF DAYS]]*Tabla3[[#This Row],[MAX. UNIT COST PER DAY]]</f>
        <v>34</v>
      </c>
      <c r="O341" s="162"/>
      <c r="P341" s="188"/>
      <c r="Q341" s="188"/>
      <c r="R341" s="188"/>
      <c r="S341" s="188"/>
      <c r="T341" s="188"/>
      <c r="U341" s="188"/>
      <c r="V341" s="188"/>
      <c r="W341" s="188"/>
      <c r="X341" s="188"/>
      <c r="Y341" s="188"/>
      <c r="Z341" s="188"/>
      <c r="AA341" s="188"/>
      <c r="AB341" s="188"/>
      <c r="AC341" s="188"/>
      <c r="AD341" s="188"/>
      <c r="AE341" s="188"/>
      <c r="AF341" s="188"/>
      <c r="AG341" s="188"/>
      <c r="AH341" s="188"/>
    </row>
    <row r="342" spans="1:34" x14ac:dyDescent="0.25">
      <c r="A342" s="94" t="s">
        <v>74</v>
      </c>
      <c r="B342" s="45" t="s">
        <v>61</v>
      </c>
      <c r="C342" s="45" t="s">
        <v>129</v>
      </c>
      <c r="D342" s="75" t="s">
        <v>93</v>
      </c>
      <c r="E342" s="75" t="s">
        <v>582</v>
      </c>
      <c r="F342" s="45" t="s">
        <v>282</v>
      </c>
      <c r="G342" s="45" t="s">
        <v>229</v>
      </c>
      <c r="H342" s="45" t="s">
        <v>210</v>
      </c>
      <c r="I342" s="45" t="s">
        <v>583</v>
      </c>
      <c r="J342" s="196">
        <v>44211</v>
      </c>
      <c r="K342" s="196">
        <v>44391</v>
      </c>
      <c r="L342" s="45">
        <v>5</v>
      </c>
      <c r="M342" s="99">
        <f t="shared" si="25"/>
        <v>17</v>
      </c>
      <c r="N342" s="160">
        <f>Tabla3[[#This Row],[NUMBER OF DAYS]]*Tabla3[[#This Row],[MAX. UNIT COST PER DAY]]</f>
        <v>85</v>
      </c>
      <c r="O342" s="162"/>
      <c r="P342" s="188"/>
      <c r="Q342" s="188"/>
      <c r="R342" s="188"/>
      <c r="S342" s="188"/>
      <c r="T342" s="188"/>
      <c r="U342" s="188"/>
      <c r="V342" s="188"/>
      <c r="W342" s="188"/>
      <c r="X342" s="188"/>
      <c r="Y342" s="188"/>
      <c r="Z342" s="188"/>
      <c r="AA342" s="188"/>
      <c r="AB342" s="188"/>
      <c r="AC342" s="188"/>
      <c r="AD342" s="188"/>
      <c r="AE342" s="188"/>
      <c r="AF342" s="188"/>
      <c r="AG342" s="188"/>
      <c r="AH342" s="188"/>
    </row>
    <row r="343" spans="1:34" x14ac:dyDescent="0.25">
      <c r="A343" s="193" t="s">
        <v>74</v>
      </c>
      <c r="B343" s="45" t="s">
        <v>61</v>
      </c>
      <c r="C343" s="45" t="s">
        <v>129</v>
      </c>
      <c r="D343" s="75" t="s">
        <v>93</v>
      </c>
      <c r="E343" s="75" t="s">
        <v>584</v>
      </c>
      <c r="F343" s="45" t="s">
        <v>116</v>
      </c>
      <c r="G343" s="45" t="s">
        <v>47</v>
      </c>
      <c r="H343" s="179" t="s">
        <v>210</v>
      </c>
      <c r="I343" s="45" t="s">
        <v>618</v>
      </c>
      <c r="J343" s="196">
        <v>44211</v>
      </c>
      <c r="K343" s="196">
        <v>44391</v>
      </c>
      <c r="L343" s="45">
        <v>3</v>
      </c>
      <c r="M343" s="99">
        <f t="shared" ref="M343:M349" si="26">IF(AND(G343="Manager",D343="Spain"),164,IF(AND(G343="Teacher/Trainer/Researcher",D343="Spain"),137,IF(AND(G343="Technical Staff",D343="Spain"),102,IF(AND(G343="Administrative staff",D343="Spain"),78,IF(AND(G343="Manager",D343="Slovenia"),164,IF(AND(G343="Teacher/Trainer/Researcher",D343="Slovenia"),137,IF(AND(G343="Technical Staff",D343="Slovenia"),102,IF(AND(G343="Administrative staff",D343="Slovenia"),78,IF(AND(G343="Manager",D343="Italy"),280,IF(AND(G343="Teacher/Trainer/Researcher",D343="Italy"),214,IF(AND(G343="Technical Staff",D343="Italy"),162,IF(AND(G343="Administrative staff",D343="Italy"),131,IF(AND(G343="Manager",D343="Kazakhstan"),77,IF(AND(G343="Teacher/Trainer/Researcher",D343="Kazakhstan"),57,IF(AND(G343="Technical Staff",D343="Kazakhstan"),40,IF(AND(G343="Administrative staff",D343="Kazakhstan"),32,IF(AND(G343="Manager",D343="Turkmenistan"),47,IF(AND(G343="Teacher/Trainer/Researcher",D343="Turkmenistan"),33,IF(AND(G343="Technical Staff",D343="Turkmenistan"),22,IF(AND(G343="Administrative staff",D343="Turkmenistan"),17,IF(AND(G343="Manager",D343="Tajikistan"),47,IF(AND(G343="Teacher/Trainer/Researcher",D343="Tajikistan"),33,IF(AND(G343="Technical Staff",D343="Tajikistan"),22,IF(AND(G343="Administrative staff",D343="Tajikistan"),17,))))))))))))))))))))))))</f>
        <v>47</v>
      </c>
      <c r="N343" s="160">
        <f>Tabla3[[#This Row],[NUMBER OF DAYS]]*Tabla3[[#This Row],[MAX. UNIT COST PER DAY]]</f>
        <v>141</v>
      </c>
      <c r="O343" s="162"/>
      <c r="P343" s="188"/>
      <c r="Q343" s="188"/>
      <c r="R343" s="188"/>
      <c r="S343" s="188"/>
      <c r="T343" s="188"/>
      <c r="U343" s="188"/>
      <c r="V343" s="188"/>
      <c r="W343" s="188"/>
      <c r="X343" s="188"/>
      <c r="Y343" s="188"/>
      <c r="Z343" s="188"/>
      <c r="AA343" s="188"/>
      <c r="AB343" s="188"/>
      <c r="AC343" s="188"/>
      <c r="AD343" s="188"/>
      <c r="AE343" s="188"/>
      <c r="AF343" s="188"/>
      <c r="AG343" s="188"/>
      <c r="AH343" s="188"/>
    </row>
    <row r="344" spans="1:34" x14ac:dyDescent="0.25">
      <c r="A344" s="94" t="s">
        <v>24</v>
      </c>
      <c r="B344" s="45" t="s">
        <v>61</v>
      </c>
      <c r="C344" s="45" t="s">
        <v>129</v>
      </c>
      <c r="D344" s="75" t="s">
        <v>93</v>
      </c>
      <c r="E344" s="75" t="s">
        <v>584</v>
      </c>
      <c r="F344" s="45" t="s">
        <v>116</v>
      </c>
      <c r="G344" s="45" t="s">
        <v>47</v>
      </c>
      <c r="H344" s="45" t="s">
        <v>210</v>
      </c>
      <c r="I344" s="45" t="s">
        <v>617</v>
      </c>
      <c r="J344" s="196">
        <v>44211</v>
      </c>
      <c r="K344" s="196">
        <v>44391</v>
      </c>
      <c r="L344" s="45">
        <v>4</v>
      </c>
      <c r="M344" s="99">
        <f t="shared" si="26"/>
        <v>47</v>
      </c>
      <c r="N344" s="160">
        <f>Tabla3[[#This Row],[NUMBER OF DAYS]]*Tabla3[[#This Row],[MAX. UNIT COST PER DAY]]</f>
        <v>188</v>
      </c>
      <c r="O344" s="162"/>
      <c r="P344" s="188"/>
      <c r="Q344" s="188"/>
      <c r="R344" s="188"/>
      <c r="S344" s="188"/>
      <c r="T344" s="188"/>
      <c r="U344" s="188"/>
      <c r="V344" s="188"/>
      <c r="W344" s="188"/>
      <c r="X344" s="188"/>
      <c r="Y344" s="188"/>
      <c r="Z344" s="188"/>
      <c r="AA344" s="188"/>
      <c r="AB344" s="188"/>
      <c r="AC344" s="188"/>
      <c r="AD344" s="188"/>
      <c r="AE344" s="188"/>
      <c r="AF344" s="188"/>
      <c r="AG344" s="188"/>
      <c r="AH344" s="188"/>
    </row>
    <row r="345" spans="1:34" x14ac:dyDescent="0.25">
      <c r="A345" s="94" t="s">
        <v>72</v>
      </c>
      <c r="B345" s="45" t="s">
        <v>61</v>
      </c>
      <c r="C345" s="45" t="s">
        <v>129</v>
      </c>
      <c r="D345" s="75" t="s">
        <v>93</v>
      </c>
      <c r="E345" s="75" t="s">
        <v>584</v>
      </c>
      <c r="F345" s="45" t="s">
        <v>116</v>
      </c>
      <c r="G345" s="45" t="s">
        <v>47</v>
      </c>
      <c r="H345" s="45" t="s">
        <v>212</v>
      </c>
      <c r="I345" s="45" t="s">
        <v>619</v>
      </c>
      <c r="J345" s="196">
        <v>44211</v>
      </c>
      <c r="K345" s="196">
        <v>44391</v>
      </c>
      <c r="L345" s="45">
        <v>8</v>
      </c>
      <c r="M345" s="99">
        <f t="shared" si="26"/>
        <v>47</v>
      </c>
      <c r="N345" s="160">
        <f>Tabla3[[#This Row],[NUMBER OF DAYS]]*Tabla3[[#This Row],[MAX. UNIT COST PER DAY]]</f>
        <v>376</v>
      </c>
      <c r="O345" s="162"/>
      <c r="P345" s="188"/>
      <c r="Q345" s="188"/>
      <c r="R345" s="188"/>
      <c r="S345" s="188"/>
      <c r="T345" s="188"/>
      <c r="U345" s="188"/>
      <c r="V345" s="188"/>
      <c r="W345" s="188"/>
      <c r="X345" s="188"/>
      <c r="Y345" s="188"/>
      <c r="Z345" s="188"/>
      <c r="AA345" s="188"/>
      <c r="AB345" s="188"/>
      <c r="AC345" s="188"/>
      <c r="AD345" s="188"/>
      <c r="AE345" s="188"/>
      <c r="AF345" s="188"/>
      <c r="AG345" s="188"/>
      <c r="AH345" s="188"/>
    </row>
    <row r="346" spans="1:34" x14ac:dyDescent="0.25">
      <c r="A346" s="94" t="s">
        <v>24</v>
      </c>
      <c r="B346" s="45" t="s">
        <v>61</v>
      </c>
      <c r="C346" s="45" t="s">
        <v>129</v>
      </c>
      <c r="D346" s="75" t="s">
        <v>93</v>
      </c>
      <c r="E346" s="75" t="s">
        <v>750</v>
      </c>
      <c r="F346" s="158" t="s">
        <v>266</v>
      </c>
      <c r="G346" s="45" t="s">
        <v>229</v>
      </c>
      <c r="H346" s="45" t="s">
        <v>225</v>
      </c>
      <c r="I346" s="45" t="s">
        <v>749</v>
      </c>
      <c r="J346" s="210">
        <v>44392</v>
      </c>
      <c r="K346" s="218">
        <v>44561</v>
      </c>
      <c r="L346" s="45">
        <v>7</v>
      </c>
      <c r="M346" s="99">
        <f t="shared" si="26"/>
        <v>17</v>
      </c>
      <c r="N346" s="160">
        <f>Tabla3[[#This Row],[NUMBER OF DAYS]]*Tabla3[[#This Row],[MAX. UNIT COST PER DAY]]</f>
        <v>119</v>
      </c>
      <c r="O346" s="162"/>
      <c r="P346" s="188"/>
      <c r="Q346" s="188"/>
      <c r="R346" s="188"/>
      <c r="S346" s="188"/>
      <c r="T346" s="188"/>
      <c r="U346" s="188"/>
      <c r="V346" s="188"/>
      <c r="W346" s="188"/>
      <c r="X346" s="188"/>
      <c r="Y346" s="188"/>
      <c r="Z346" s="188"/>
      <c r="AA346" s="188"/>
      <c r="AB346" s="188"/>
      <c r="AC346" s="188"/>
      <c r="AD346" s="188"/>
      <c r="AE346" s="188"/>
      <c r="AF346" s="188"/>
      <c r="AG346" s="188"/>
      <c r="AH346" s="188"/>
    </row>
    <row r="347" spans="1:34" x14ac:dyDescent="0.25">
      <c r="A347" s="94" t="s">
        <v>74</v>
      </c>
      <c r="B347" s="45" t="s">
        <v>61</v>
      </c>
      <c r="C347" s="45" t="s">
        <v>129</v>
      </c>
      <c r="D347" s="75" t="s">
        <v>93</v>
      </c>
      <c r="E347" s="75" t="s">
        <v>752</v>
      </c>
      <c r="F347" s="45" t="s">
        <v>116</v>
      </c>
      <c r="G347" s="45" t="s">
        <v>47</v>
      </c>
      <c r="H347" s="45" t="s">
        <v>210</v>
      </c>
      <c r="I347" s="45" t="s">
        <v>751</v>
      </c>
      <c r="J347" s="210">
        <v>44392</v>
      </c>
      <c r="K347" s="218">
        <v>44561</v>
      </c>
      <c r="L347" s="45">
        <v>3</v>
      </c>
      <c r="M347" s="99">
        <f t="shared" si="26"/>
        <v>47</v>
      </c>
      <c r="N347" s="160">
        <f>Tabla3[[#This Row],[NUMBER OF DAYS]]*Tabla3[[#This Row],[MAX. UNIT COST PER DAY]]</f>
        <v>141</v>
      </c>
      <c r="O347" s="162"/>
      <c r="P347" s="188"/>
      <c r="Q347" s="188"/>
      <c r="R347" s="188"/>
      <c r="S347" s="188"/>
      <c r="T347" s="188"/>
      <c r="U347" s="188"/>
      <c r="V347" s="188"/>
      <c r="W347" s="188"/>
      <c r="X347" s="188"/>
      <c r="Y347" s="188"/>
      <c r="Z347" s="188"/>
      <c r="AA347" s="188"/>
      <c r="AB347" s="188"/>
      <c r="AC347" s="188"/>
      <c r="AD347" s="188"/>
      <c r="AE347" s="188"/>
      <c r="AF347" s="188"/>
      <c r="AG347" s="188"/>
      <c r="AH347" s="188"/>
    </row>
    <row r="348" spans="1:34" x14ac:dyDescent="0.25">
      <c r="A348" s="94" t="s">
        <v>24</v>
      </c>
      <c r="B348" s="45" t="s">
        <v>61</v>
      </c>
      <c r="C348" s="45" t="s">
        <v>129</v>
      </c>
      <c r="D348" s="75" t="s">
        <v>93</v>
      </c>
      <c r="E348" s="75" t="s">
        <v>752</v>
      </c>
      <c r="F348" s="45" t="s">
        <v>116</v>
      </c>
      <c r="G348" s="45" t="s">
        <v>47</v>
      </c>
      <c r="H348" s="45" t="s">
        <v>225</v>
      </c>
      <c r="I348" s="45" t="s">
        <v>749</v>
      </c>
      <c r="J348" s="210">
        <v>44392</v>
      </c>
      <c r="K348" s="218">
        <v>44561</v>
      </c>
      <c r="L348" s="45">
        <v>7</v>
      </c>
      <c r="M348" s="99">
        <f t="shared" si="26"/>
        <v>47</v>
      </c>
      <c r="N348" s="160">
        <f>Tabla3[[#This Row],[NUMBER OF DAYS]]*Tabla3[[#This Row],[MAX. UNIT COST PER DAY]]</f>
        <v>329</v>
      </c>
      <c r="O348" s="162"/>
      <c r="P348" s="188"/>
      <c r="Q348" s="188"/>
      <c r="R348" s="188"/>
      <c r="S348" s="188"/>
      <c r="T348" s="188"/>
      <c r="U348" s="188"/>
      <c r="V348" s="188"/>
      <c r="W348" s="188"/>
      <c r="X348" s="188"/>
      <c r="Y348" s="188"/>
      <c r="Z348" s="188"/>
      <c r="AA348" s="188"/>
      <c r="AB348" s="188"/>
      <c r="AC348" s="188"/>
      <c r="AD348" s="188"/>
      <c r="AE348" s="188"/>
      <c r="AF348" s="188"/>
      <c r="AG348" s="188"/>
      <c r="AH348" s="188"/>
    </row>
    <row r="349" spans="1:34" x14ac:dyDescent="0.25">
      <c r="A349" s="94" t="s">
        <v>24</v>
      </c>
      <c r="B349" s="45" t="s">
        <v>61</v>
      </c>
      <c r="C349" s="45" t="s">
        <v>129</v>
      </c>
      <c r="D349" s="75" t="s">
        <v>93</v>
      </c>
      <c r="E349" s="75" t="s">
        <v>753</v>
      </c>
      <c r="F349" s="158" t="s">
        <v>273</v>
      </c>
      <c r="G349" s="45" t="s">
        <v>48</v>
      </c>
      <c r="H349" s="45" t="s">
        <v>225</v>
      </c>
      <c r="I349" s="45" t="s">
        <v>754</v>
      </c>
      <c r="J349" s="210">
        <v>44392</v>
      </c>
      <c r="K349" s="218">
        <v>44561</v>
      </c>
      <c r="L349" s="45">
        <v>7</v>
      </c>
      <c r="M349" s="99">
        <f t="shared" si="26"/>
        <v>33</v>
      </c>
      <c r="N349" s="160">
        <f>Tabla3[[#This Row],[NUMBER OF DAYS]]*Tabla3[[#This Row],[MAX. UNIT COST PER DAY]]</f>
        <v>231</v>
      </c>
      <c r="O349" s="162"/>
      <c r="P349" s="188"/>
      <c r="Q349" s="188"/>
      <c r="R349" s="188"/>
      <c r="S349" s="188"/>
      <c r="T349" s="188"/>
      <c r="U349" s="188"/>
      <c r="V349" s="188"/>
      <c r="W349" s="188"/>
      <c r="X349" s="188"/>
      <c r="Y349" s="188"/>
      <c r="Z349" s="188"/>
      <c r="AA349" s="188"/>
      <c r="AB349" s="188"/>
      <c r="AC349" s="188"/>
      <c r="AD349" s="188"/>
      <c r="AE349" s="188"/>
      <c r="AF349" s="188"/>
      <c r="AG349" s="188"/>
      <c r="AH349" s="188"/>
    </row>
    <row r="350" spans="1:34" x14ac:dyDescent="0.25">
      <c r="A350" s="89"/>
      <c r="B350" s="66"/>
      <c r="C350" s="66"/>
      <c r="D350" s="69"/>
      <c r="E350" s="91"/>
      <c r="F350" s="89"/>
      <c r="G350" s="89"/>
      <c r="H350" s="89"/>
      <c r="I350" s="89"/>
      <c r="J350" s="91"/>
      <c r="K350" s="91"/>
      <c r="L350" s="89"/>
      <c r="M350" s="89"/>
      <c r="N350" s="102">
        <f>Tabla3[[#This Row],[NUMBER OF DAYS]]*Tabla3[[#This Row],[MAX. UNIT COST PER DAY]]</f>
        <v>0</v>
      </c>
    </row>
    <row r="351" spans="1:34" x14ac:dyDescent="0.25">
      <c r="A351" s="45" t="s">
        <v>23</v>
      </c>
      <c r="B351" s="45" t="s">
        <v>62</v>
      </c>
      <c r="C351" s="45" t="s">
        <v>110</v>
      </c>
      <c r="D351" s="75" t="s">
        <v>92</v>
      </c>
      <c r="E351" s="75" t="s">
        <v>187</v>
      </c>
      <c r="F351" s="45" t="s">
        <v>188</v>
      </c>
      <c r="G351" s="45" t="s">
        <v>47</v>
      </c>
      <c r="H351" s="96" t="s">
        <v>211</v>
      </c>
      <c r="I351" s="45" t="s">
        <v>186</v>
      </c>
      <c r="J351" s="78">
        <v>43845</v>
      </c>
      <c r="K351" s="78">
        <v>44026</v>
      </c>
      <c r="L351" s="45">
        <v>1</v>
      </c>
      <c r="M351" s="99">
        <f t="shared" ref="M351:M359" si="27">IF(AND(G351="Manager",D351="Spain"),164,IF(AND(G351="Teacher/Trainer/Researcher",D351="Spain"),137,IF(AND(G351="Technical Staff",D351="Spain"),102,IF(AND(G351="Administrative staff",D351="Spain"),78,IF(AND(G351="Manager",D351="Slovenia"),164,IF(AND(G351="Teacher/Trainer/Researcher",D351="Slovenia"),137,IF(AND(G351="Technical Staff",D351="Slovenia"),102,IF(AND(G351="Administrative staff",D351="Slovenia"),78,IF(AND(G351="Manager",D351="Italy"),280,IF(AND(G351="Teacher/Trainer/Researcher",D351="Italy"),214,IF(AND(G351="Technical Staff",D351="Italy"),162,IF(AND(G351="Administrative staff",D351="Italy"),131,IF(AND(G351="Manager",D351="Kazakhstan"),77,IF(AND(G351="Teacher/Trainer/Researcher",D351="Kazakhstan"),57,IF(AND(G351="Technical Staff",D351="Kazakhstan"),40,IF(AND(G351="Administrative staff",D351="Kazakhstan"),32,IF(AND(G351="Manager",D351="Turkmenistan"),47,IF(AND(G351="Teacher/Trainer/Researcher",D351="Turkmenistan"),33,IF(AND(G351="Technical Staff",D351="Turkmenistan"),22,IF(AND(G351="Administrative staff",D351="Turkmenistan"),17,IF(AND(G351="Manager",D351="Tajikistan"),47,IF(AND(G351="Teacher/Trainer/Researcher",D351="Tajikistan"),33,IF(AND(G351="Technical Staff",D351="Tajikistan"),22,IF(AND(G351="Administrative staff",D351="Tajikistan"),17,))))))))))))))))))))))))</f>
        <v>47</v>
      </c>
      <c r="N351" s="99">
        <f>Tabla3[[#This Row],[NUMBER OF DAYS]]*Tabla3[[#This Row],[MAX. UNIT COST PER DAY]]</f>
        <v>47</v>
      </c>
    </row>
    <row r="352" spans="1:34" x14ac:dyDescent="0.25">
      <c r="A352" s="94" t="s">
        <v>73</v>
      </c>
      <c r="B352" s="45" t="s">
        <v>62</v>
      </c>
      <c r="C352" s="45" t="s">
        <v>110</v>
      </c>
      <c r="D352" s="75" t="s">
        <v>92</v>
      </c>
      <c r="E352" s="75" t="s">
        <v>187</v>
      </c>
      <c r="F352" s="45" t="s">
        <v>188</v>
      </c>
      <c r="G352" s="45" t="s">
        <v>47</v>
      </c>
      <c r="H352" s="96" t="s">
        <v>213</v>
      </c>
      <c r="I352" s="45" t="s">
        <v>186</v>
      </c>
      <c r="J352" s="78">
        <v>43845</v>
      </c>
      <c r="K352" s="78">
        <v>44026</v>
      </c>
      <c r="L352" s="45">
        <v>1</v>
      </c>
      <c r="M352" s="99">
        <f t="shared" si="27"/>
        <v>47</v>
      </c>
      <c r="N352" s="99">
        <f>Tabla3[[#This Row],[NUMBER OF DAYS]]*Tabla3[[#This Row],[MAX. UNIT COST PER DAY]]</f>
        <v>47</v>
      </c>
    </row>
    <row r="353" spans="1:34" x14ac:dyDescent="0.25">
      <c r="A353" s="94" t="s">
        <v>24</v>
      </c>
      <c r="B353" s="45" t="s">
        <v>62</v>
      </c>
      <c r="C353" s="45" t="s">
        <v>110</v>
      </c>
      <c r="D353" s="75" t="s">
        <v>92</v>
      </c>
      <c r="E353" s="75" t="s">
        <v>187</v>
      </c>
      <c r="F353" s="45" t="s">
        <v>188</v>
      </c>
      <c r="G353" s="45" t="s">
        <v>47</v>
      </c>
      <c r="H353" s="96" t="s">
        <v>225</v>
      </c>
      <c r="I353" s="45" t="s">
        <v>186</v>
      </c>
      <c r="J353" s="78">
        <v>43845</v>
      </c>
      <c r="K353" s="78">
        <v>44026</v>
      </c>
      <c r="L353" s="45">
        <v>1</v>
      </c>
      <c r="M353" s="99">
        <f t="shared" si="27"/>
        <v>47</v>
      </c>
      <c r="N353" s="99">
        <f>Tabla3[[#This Row],[NUMBER OF DAYS]]*Tabla3[[#This Row],[MAX. UNIT COST PER DAY]]</f>
        <v>47</v>
      </c>
    </row>
    <row r="354" spans="1:34" x14ac:dyDescent="0.25">
      <c r="A354" s="45" t="s">
        <v>23</v>
      </c>
      <c r="B354" s="45" t="s">
        <v>62</v>
      </c>
      <c r="C354" s="45" t="s">
        <v>110</v>
      </c>
      <c r="D354" s="75" t="s">
        <v>92</v>
      </c>
      <c r="E354" s="75" t="s">
        <v>378</v>
      </c>
      <c r="F354" s="45" t="s">
        <v>188</v>
      </c>
      <c r="G354" s="45" t="s">
        <v>47</v>
      </c>
      <c r="H354" s="96" t="s">
        <v>211</v>
      </c>
      <c r="I354" s="158" t="s">
        <v>379</v>
      </c>
      <c r="J354" s="161">
        <v>44027</v>
      </c>
      <c r="K354" s="161">
        <v>44210</v>
      </c>
      <c r="L354" s="45">
        <v>1</v>
      </c>
      <c r="M354" s="99">
        <f t="shared" si="27"/>
        <v>47</v>
      </c>
      <c r="N354" s="160">
        <f>Tabla3[[#This Row],[NUMBER OF DAYS]]*Tabla3[[#This Row],[MAX. UNIT COST PER DAY]]</f>
        <v>47</v>
      </c>
      <c r="O354" s="152"/>
      <c r="P354" s="152"/>
      <c r="Q354" s="152"/>
      <c r="R354" s="152"/>
      <c r="S354" s="152"/>
      <c r="T354" s="152"/>
      <c r="U354" s="152"/>
      <c r="V354" s="152"/>
      <c r="W354" s="152"/>
      <c r="X354" s="152"/>
      <c r="Y354" s="152"/>
      <c r="Z354" s="152"/>
      <c r="AA354" s="152"/>
      <c r="AB354" s="152"/>
      <c r="AC354" s="152"/>
      <c r="AD354" s="152"/>
      <c r="AE354" s="152"/>
      <c r="AF354" s="152"/>
      <c r="AG354" s="152"/>
      <c r="AH354" s="152"/>
    </row>
    <row r="355" spans="1:34" x14ac:dyDescent="0.25">
      <c r="A355" s="94" t="s">
        <v>73</v>
      </c>
      <c r="B355" s="45" t="s">
        <v>62</v>
      </c>
      <c r="C355" s="45" t="s">
        <v>110</v>
      </c>
      <c r="D355" s="75" t="s">
        <v>92</v>
      </c>
      <c r="E355" s="75" t="s">
        <v>378</v>
      </c>
      <c r="F355" s="45" t="s">
        <v>188</v>
      </c>
      <c r="G355" s="45" t="s">
        <v>47</v>
      </c>
      <c r="H355" s="96" t="s">
        <v>213</v>
      </c>
      <c r="I355" s="158" t="s">
        <v>380</v>
      </c>
      <c r="J355" s="161">
        <v>44027</v>
      </c>
      <c r="K355" s="161">
        <v>44210</v>
      </c>
      <c r="L355" s="45">
        <v>1</v>
      </c>
      <c r="M355" s="99">
        <f t="shared" si="27"/>
        <v>47</v>
      </c>
      <c r="N355" s="160">
        <f>Tabla3[[#This Row],[NUMBER OF DAYS]]*Tabla3[[#This Row],[MAX. UNIT COST PER DAY]]</f>
        <v>47</v>
      </c>
      <c r="O355" s="152"/>
      <c r="P355" s="152"/>
      <c r="Q355" s="152"/>
      <c r="R355" s="152"/>
      <c r="S355" s="152"/>
      <c r="T355" s="152"/>
      <c r="U355" s="152"/>
      <c r="V355" s="152"/>
      <c r="W355" s="152"/>
      <c r="X355" s="152"/>
      <c r="Y355" s="152"/>
      <c r="Z355" s="152"/>
      <c r="AA355" s="152"/>
      <c r="AB355" s="152"/>
      <c r="AC355" s="152"/>
      <c r="AD355" s="152"/>
      <c r="AE355" s="152"/>
      <c r="AF355" s="152"/>
      <c r="AG355" s="152"/>
      <c r="AH355" s="152"/>
    </row>
    <row r="356" spans="1:34" x14ac:dyDescent="0.25">
      <c r="A356" s="94" t="s">
        <v>24</v>
      </c>
      <c r="B356" s="45" t="s">
        <v>62</v>
      </c>
      <c r="C356" s="45" t="s">
        <v>110</v>
      </c>
      <c r="D356" s="75" t="s">
        <v>92</v>
      </c>
      <c r="E356" s="75" t="s">
        <v>378</v>
      </c>
      <c r="F356" s="45" t="s">
        <v>188</v>
      </c>
      <c r="G356" s="45" t="s">
        <v>47</v>
      </c>
      <c r="H356" s="96" t="s">
        <v>225</v>
      </c>
      <c r="I356" s="158" t="s">
        <v>381</v>
      </c>
      <c r="J356" s="161">
        <v>44027</v>
      </c>
      <c r="K356" s="161">
        <v>44210</v>
      </c>
      <c r="L356" s="45">
        <v>1</v>
      </c>
      <c r="M356" s="99">
        <f t="shared" si="27"/>
        <v>47</v>
      </c>
      <c r="N356" s="160">
        <f>Tabla3[[#This Row],[NUMBER OF DAYS]]*Tabla3[[#This Row],[MAX. UNIT COST PER DAY]]</f>
        <v>47</v>
      </c>
      <c r="O356" s="152"/>
      <c r="P356" s="152"/>
      <c r="Q356" s="152"/>
      <c r="R356" s="152"/>
      <c r="S356" s="152"/>
      <c r="T356" s="152"/>
      <c r="U356" s="152"/>
      <c r="V356" s="152"/>
      <c r="W356" s="152"/>
      <c r="X356" s="152"/>
      <c r="Y356" s="152"/>
      <c r="Z356" s="152"/>
      <c r="AA356" s="152"/>
      <c r="AB356" s="152"/>
      <c r="AC356" s="152"/>
      <c r="AD356" s="152"/>
      <c r="AE356" s="152"/>
      <c r="AF356" s="152"/>
      <c r="AG356" s="152"/>
      <c r="AH356" s="152"/>
    </row>
    <row r="357" spans="1:34" x14ac:dyDescent="0.25">
      <c r="A357" s="45" t="s">
        <v>23</v>
      </c>
      <c r="B357" s="45" t="s">
        <v>62</v>
      </c>
      <c r="C357" s="45" t="s">
        <v>110</v>
      </c>
      <c r="D357" s="75" t="s">
        <v>92</v>
      </c>
      <c r="E357" s="75" t="s">
        <v>521</v>
      </c>
      <c r="F357" s="45" t="s">
        <v>188</v>
      </c>
      <c r="G357" s="45" t="s">
        <v>47</v>
      </c>
      <c r="H357" s="96" t="s">
        <v>211</v>
      </c>
      <c r="I357" s="45" t="s">
        <v>522</v>
      </c>
      <c r="J357" s="196">
        <v>44211</v>
      </c>
      <c r="K357" s="196">
        <v>44391</v>
      </c>
      <c r="L357" s="45">
        <v>1</v>
      </c>
      <c r="M357" s="99">
        <f t="shared" si="27"/>
        <v>47</v>
      </c>
      <c r="N357" s="160">
        <f>Tabla3[[#This Row],[NUMBER OF DAYS]]*Tabla3[[#This Row],[MAX. UNIT COST PER DAY]]</f>
        <v>47</v>
      </c>
      <c r="O357" s="188"/>
      <c r="P357" s="188"/>
      <c r="Q357" s="188"/>
      <c r="R357" s="188"/>
      <c r="S357" s="188"/>
      <c r="T357" s="188"/>
      <c r="U357" s="188"/>
      <c r="V357" s="188"/>
      <c r="W357" s="188"/>
      <c r="X357" s="188"/>
      <c r="Y357" s="188"/>
      <c r="Z357" s="188"/>
      <c r="AA357" s="188"/>
      <c r="AB357" s="188"/>
      <c r="AC357" s="188"/>
      <c r="AD357" s="188"/>
      <c r="AE357" s="188"/>
      <c r="AF357" s="188"/>
      <c r="AG357" s="188"/>
      <c r="AH357" s="188"/>
    </row>
    <row r="358" spans="1:34" x14ac:dyDescent="0.25">
      <c r="A358" s="94" t="s">
        <v>73</v>
      </c>
      <c r="B358" s="45" t="s">
        <v>62</v>
      </c>
      <c r="C358" s="45" t="s">
        <v>110</v>
      </c>
      <c r="D358" s="75" t="s">
        <v>92</v>
      </c>
      <c r="E358" s="75" t="s">
        <v>521</v>
      </c>
      <c r="F358" s="45" t="s">
        <v>188</v>
      </c>
      <c r="G358" s="45" t="s">
        <v>47</v>
      </c>
      <c r="H358" s="96" t="s">
        <v>213</v>
      </c>
      <c r="I358" s="45" t="s">
        <v>523</v>
      </c>
      <c r="J358" s="196">
        <v>44211</v>
      </c>
      <c r="K358" s="196">
        <v>44391</v>
      </c>
      <c r="L358" s="45">
        <v>1</v>
      </c>
      <c r="M358" s="99">
        <f t="shared" si="27"/>
        <v>47</v>
      </c>
      <c r="N358" s="160">
        <f>Tabla3[[#This Row],[NUMBER OF DAYS]]*Tabla3[[#This Row],[MAX. UNIT COST PER DAY]]</f>
        <v>47</v>
      </c>
      <c r="O358" s="188"/>
      <c r="P358" s="188"/>
      <c r="Q358" s="188"/>
      <c r="R358" s="188"/>
      <c r="S358" s="188"/>
      <c r="T358" s="188"/>
      <c r="U358" s="188"/>
      <c r="V358" s="188"/>
      <c r="W358" s="188"/>
      <c r="X358" s="188"/>
      <c r="Y358" s="188"/>
      <c r="Z358" s="188"/>
      <c r="AA358" s="188"/>
      <c r="AB358" s="188"/>
      <c r="AC358" s="188"/>
      <c r="AD358" s="188"/>
      <c r="AE358" s="188"/>
      <c r="AF358" s="188"/>
      <c r="AG358" s="188"/>
      <c r="AH358" s="188"/>
    </row>
    <row r="359" spans="1:34" x14ac:dyDescent="0.25">
      <c r="A359" s="94" t="s">
        <v>24</v>
      </c>
      <c r="B359" s="45" t="s">
        <v>62</v>
      </c>
      <c r="C359" s="45" t="s">
        <v>110</v>
      </c>
      <c r="D359" s="75" t="s">
        <v>92</v>
      </c>
      <c r="E359" s="75" t="s">
        <v>521</v>
      </c>
      <c r="F359" s="45" t="s">
        <v>188</v>
      </c>
      <c r="G359" s="45" t="s">
        <v>47</v>
      </c>
      <c r="H359" s="96" t="s">
        <v>225</v>
      </c>
      <c r="I359" s="45" t="s">
        <v>524</v>
      </c>
      <c r="J359" s="196">
        <v>44211</v>
      </c>
      <c r="K359" s="196">
        <v>44391</v>
      </c>
      <c r="L359" s="45">
        <v>1</v>
      </c>
      <c r="M359" s="99">
        <f t="shared" si="27"/>
        <v>47</v>
      </c>
      <c r="N359" s="160">
        <f>Tabla3[[#This Row],[NUMBER OF DAYS]]*Tabla3[[#This Row],[MAX. UNIT COST PER DAY]]</f>
        <v>47</v>
      </c>
      <c r="O359" s="188"/>
      <c r="P359" s="188"/>
      <c r="Q359" s="188"/>
      <c r="R359" s="188"/>
      <c r="S359" s="188"/>
      <c r="T359" s="188"/>
      <c r="U359" s="188"/>
      <c r="V359" s="188"/>
      <c r="W359" s="188"/>
      <c r="X359" s="188"/>
      <c r="Y359" s="188"/>
      <c r="Z359" s="188"/>
      <c r="AA359" s="188"/>
      <c r="AB359" s="188"/>
      <c r="AC359" s="188"/>
      <c r="AD359" s="188"/>
      <c r="AE359" s="188"/>
      <c r="AF359" s="188"/>
      <c r="AG359" s="188"/>
      <c r="AH359" s="188"/>
    </row>
    <row r="360" spans="1:34" x14ac:dyDescent="0.25">
      <c r="A360" s="207" t="s">
        <v>74</v>
      </c>
      <c r="B360" s="45" t="s">
        <v>62</v>
      </c>
      <c r="C360" s="45" t="s">
        <v>110</v>
      </c>
      <c r="D360" s="75" t="s">
        <v>92</v>
      </c>
      <c r="E360" s="75" t="s">
        <v>637</v>
      </c>
      <c r="F360" s="45" t="s">
        <v>631</v>
      </c>
      <c r="G360" s="208" t="s">
        <v>47</v>
      </c>
      <c r="H360" s="45" t="s">
        <v>210</v>
      </c>
      <c r="I360" s="209" t="s">
        <v>632</v>
      </c>
      <c r="J360" s="210">
        <v>44392</v>
      </c>
      <c r="K360" s="218">
        <v>44561</v>
      </c>
      <c r="L360" s="208">
        <v>1</v>
      </c>
      <c r="M360" s="211">
        <f>IF(AND(G360="Manager",D360="Spain"),164,IF(AND(G360="Teacher/Trainer/Researcher",D360="Spain"),137,IF(AND(G360="Technical Staff",D360="Spain"),164,IF(AND(G360="Administrative staff",D360="Spain"),164,IF(AND(G360="Manager",D360="Slovenia"),164,IF(AND(G360="Teacher/Trainer/Researcher",D360="Slovenia"),137,IF(AND(G360="Technical Staff",D360="Slovenia"),102,IF(AND(G360="Administrative staff",D360="Slovenia"),78,IF(AND(G360="Manager",D360="Italy"),280,IF(AND(G360="Teacher/Trainer/Researcher",D360="Italy"),214,IF(AND(G360="Technical Staff",D360="Italy"),162,IF(AND(G360="Administrative staff",D360="Italy"),131,IF(AND(G360="Manager",D360="Kazakstan"),77,IF(AND(G360="Teacher/Trainer/Researcher",D360="Kazakstan"),57,IF(AND(G360="Technical Staff",D360="Kazakstan"),40,IF(AND(G360="Administrative staff",D360="Kazakstan"),32,IF(AND(G360="Manager",D360="Turkmenistan"),47,IF(AND(G360="Teacher/Trainer/Researcher",D360="Turkmenistan"),33,IF(AND(G360="Technical Staff",D360="Turkmenistan"),22,IF(AND(G360="Administrative staff",D360="Turkmenistan"),17,IF(AND(G360="Manager",D360="Tajikistan"),47,IF(AND(G360="Teacher/Trainer/Researcher",D360="Tajikistan"),33,IF(AND(G360="Technical Staff",D360="Tajikistan"),22,IF(AND(G360="Administrative staff",D360="Tajikistan"),17,))))))))))))))))))))))))</f>
        <v>47</v>
      </c>
      <c r="N360" s="211">
        <f>Tabla3[[#This Row],[NUMBER OF DAYS]]*Tabla3[[#This Row],[MAX. UNIT COST PER DAY]]</f>
        <v>47</v>
      </c>
      <c r="O360" s="188"/>
      <c r="P360" s="188"/>
      <c r="Q360" s="188"/>
      <c r="R360" s="188"/>
      <c r="S360" s="188"/>
      <c r="T360" s="188"/>
      <c r="U360" s="188"/>
      <c r="V360" s="188"/>
      <c r="W360" s="188"/>
      <c r="X360" s="188"/>
      <c r="Y360" s="188"/>
      <c r="Z360" s="188"/>
      <c r="AA360" s="188"/>
      <c r="AB360" s="188"/>
      <c r="AC360" s="188"/>
      <c r="AD360" s="188"/>
      <c r="AE360" s="188"/>
      <c r="AF360" s="188"/>
      <c r="AG360" s="188"/>
      <c r="AH360" s="188"/>
    </row>
    <row r="361" spans="1:34" x14ac:dyDescent="0.25">
      <c r="A361" s="207" t="s">
        <v>73</v>
      </c>
      <c r="B361" s="45" t="s">
        <v>62</v>
      </c>
      <c r="C361" s="45" t="s">
        <v>110</v>
      </c>
      <c r="D361" s="75" t="s">
        <v>92</v>
      </c>
      <c r="E361" s="75" t="s">
        <v>637</v>
      </c>
      <c r="F361" s="45" t="s">
        <v>631</v>
      </c>
      <c r="G361" s="208" t="s">
        <v>47</v>
      </c>
      <c r="H361" s="45" t="s">
        <v>213</v>
      </c>
      <c r="I361" s="95" t="s">
        <v>713</v>
      </c>
      <c r="J361" s="210">
        <v>44392</v>
      </c>
      <c r="K361" s="218">
        <v>44561</v>
      </c>
      <c r="L361" s="208">
        <v>2</v>
      </c>
      <c r="M361" s="211">
        <f>IF(AND(G361="Manager",D361="Spain"),164,IF(AND(G361="Teacher/Trainer/Researcher",D361="Spain"),137,IF(AND(G361="Technical Staff",D361="Spain"),164,IF(AND(G361="Administrative staff",D361="Spain"),164,IF(AND(G361="Manager",D361="Slovenia"),164,IF(AND(G361="Teacher/Trainer/Researcher",D361="Slovenia"),137,IF(AND(G361="Technical Staff",D361="Slovenia"),102,IF(AND(G361="Administrative staff",D361="Slovenia"),78,IF(AND(G361="Manager",D361="Italy"),280,IF(AND(G361="Teacher/Trainer/Researcher",D361="Italy"),214,IF(AND(G361="Technical Staff",D361="Italy"),162,IF(AND(G361="Administrative staff",D361="Italy"),131,IF(AND(G361="Manager",D361="Kazakstan"),77,IF(AND(G361="Teacher/Trainer/Researcher",D361="Kazakstan"),57,IF(AND(G361="Technical Staff",D361="Kazakstan"),40,IF(AND(G361="Administrative staff",D361="Kazakstan"),32,IF(AND(G361="Manager",D361="Turkmenistan"),47,IF(AND(G361="Teacher/Trainer/Researcher",D361="Turkmenistan"),33,IF(AND(G361="Technical Staff",D361="Turkmenistan"),22,IF(AND(G361="Administrative staff",D361="Turkmenistan"),17,IF(AND(G361="Manager",D361="Tajikistan"),47,IF(AND(G361="Teacher/Trainer/Researcher",D361="Tajikistan"),33,IF(AND(G361="Technical Staff",D361="Tajikistan"),22,IF(AND(G361="Administrative staff",D361="Tajikistan"),17,))))))))))))))))))))))))</f>
        <v>47</v>
      </c>
      <c r="N361" s="211">
        <f>Tabla3[[#This Row],[NUMBER OF DAYS]]*Tabla3[[#This Row],[MAX. UNIT COST PER DAY]]</f>
        <v>94</v>
      </c>
      <c r="O361" s="188"/>
      <c r="P361" s="188"/>
      <c r="Q361" s="188"/>
      <c r="R361" s="188"/>
      <c r="S361" s="188"/>
      <c r="T361" s="188"/>
      <c r="U361" s="188"/>
      <c r="V361" s="188"/>
      <c r="W361" s="188"/>
      <c r="X361" s="188"/>
      <c r="Y361" s="188"/>
      <c r="Z361" s="188"/>
      <c r="AA361" s="188"/>
      <c r="AB361" s="188"/>
      <c r="AC361" s="188"/>
      <c r="AD361" s="188"/>
      <c r="AE361" s="188"/>
      <c r="AF361" s="188"/>
      <c r="AG361" s="188"/>
      <c r="AH361" s="188"/>
    </row>
    <row r="362" spans="1:34" x14ac:dyDescent="0.25">
      <c r="A362" s="89"/>
      <c r="B362" s="66"/>
      <c r="C362" s="66"/>
      <c r="D362" s="69"/>
      <c r="E362" s="91"/>
      <c r="F362" s="89"/>
      <c r="G362" s="89"/>
      <c r="H362" s="89"/>
      <c r="I362" s="89"/>
      <c r="J362" s="91"/>
      <c r="K362" s="91"/>
      <c r="L362" s="89"/>
      <c r="M362" s="89"/>
      <c r="N362" s="102">
        <f>Tabla3[[#This Row],[NUMBER OF DAYS]]*Tabla3[[#This Row],[MAX. UNIT COST PER DAY]]</f>
        <v>0</v>
      </c>
    </row>
    <row r="363" spans="1:34" x14ac:dyDescent="0.25">
      <c r="B363" s="45" t="s">
        <v>86</v>
      </c>
      <c r="C363" s="45" t="s">
        <v>111</v>
      </c>
      <c r="D363" s="75" t="s">
        <v>93</v>
      </c>
      <c r="M363" s="99">
        <f>IF(AND(G363="Manager",D363="Spain"),164,IF(AND(G363="Teacher/Trainer/Researcher",D363="Spain"),137,IF(AND(G363="Technical Staff",D363="Spain"),102,IF(AND(G363="Administrative staff",D363="Spain"),78,IF(AND(G363="Manager",D363="Slovenia"),164,IF(AND(G363="Teacher/Trainer/Researcher",D363="Slovenia"),137,IF(AND(G363="Technical Staff",D363="Slovenia"),102,IF(AND(G363="Administrative staff",D363="Slovenia"),78,IF(AND(G363="Manager",D363="Italy"),280,IF(AND(G363="Teacher/Trainer/Researcher",D363="Italy"),214,IF(AND(G363="Technical Staff",D363="Italy"),162,IF(AND(G363="Administrative staff",D363="Italy"),131,IF(AND(G363="Manager",D363="Kazakhstan"),77,IF(AND(G363="Teacher/Trainer/Researcher",D363="Kazakhstan"),57,IF(AND(G363="Technical Staff",D363="Kazakhstan"),40,IF(AND(G363="Administrative staff",D363="Kazakhstan"),32,IF(AND(G363="Manager",D363="Turkmenistan"),47,IF(AND(G363="Teacher/Trainer/Researcher",D363="Turkmenistan"),33,IF(AND(G363="Technical Staff",D363="Turkmenistan"),22,IF(AND(G363="Administrative staff",D363="Turkmenistan"),17,IF(AND(G363="Manager",D363="Tajikistan"),47,IF(AND(G363="Teacher/Trainer/Researcher",D363="Tajikistan"),33,IF(AND(G363="Technical Staff",D363="Tajikistan"),22,IF(AND(G363="Administrative staff",D363="Tajikistan"),17,))))))))))))))))))))))))</f>
        <v>0</v>
      </c>
      <c r="N363" s="99">
        <f>Tabla3[[#This Row],[NUMBER OF DAYS]]*Tabla3[[#This Row],[MAX. UNIT COST PER DAY]]</f>
        <v>0</v>
      </c>
    </row>
    <row r="364" spans="1:34" x14ac:dyDescent="0.25">
      <c r="A364" s="89"/>
      <c r="B364" s="66"/>
      <c r="C364" s="66"/>
      <c r="D364" s="69"/>
      <c r="E364" s="91"/>
      <c r="F364" s="89"/>
      <c r="G364" s="89"/>
      <c r="H364" s="89"/>
      <c r="I364" s="89"/>
      <c r="J364" s="91"/>
      <c r="K364" s="91"/>
      <c r="L364" s="89"/>
      <c r="M364" s="89"/>
      <c r="N364" s="102">
        <f>Tabla3[[#This Row],[NUMBER OF DAYS]]*Tabla3[[#This Row],[MAX. UNIT COST PER DAY]]</f>
        <v>0</v>
      </c>
    </row>
    <row r="365" spans="1:34" x14ac:dyDescent="0.25">
      <c r="B365" s="45" t="s">
        <v>113</v>
      </c>
      <c r="C365" s="45" t="s">
        <v>112</v>
      </c>
      <c r="D365" s="75" t="s">
        <v>449</v>
      </c>
      <c r="M365" s="99">
        <f>IF(AND(G365="Manager",D365="Spain"),164,IF(AND(G365="Teacher/Trainer/Researcher",D365="Spain"),137,IF(AND(G365="Technical Staff",D365="Spain"),102,IF(AND(G365="Administrative staff",D365="Spain"),78,IF(AND(G365="Manager",D365="Slovenia"),164,IF(AND(G365="Teacher/Trainer/Researcher",D365="Slovenia"),137,IF(AND(G365="Technical Staff",D365="Slovenia"),102,IF(AND(G365="Administrative staff",D365="Slovenia"),78,IF(AND(G365="Manager",D365="Italy"),280,IF(AND(G365="Teacher/Trainer/Researcher",D365="Italy"),214,IF(AND(G365="Technical Staff",D365="Italy"),162,IF(AND(G365="Administrative staff",D365="Italy"),131,IF(AND(G365="Manager",D365="Kazakhstan"),77,IF(AND(G365="Teacher/Trainer/Researcher",D365="Kazakhstan"),57,IF(AND(G365="Technical Staff",D365="Kazakhstan"),40,IF(AND(G365="Administrative staff",D365="Kazakhstan"),32,IF(AND(G365="Manager",D365="Turkmenistan"),47,IF(AND(G365="Teacher/Trainer/Researcher",D365="Turkmenistan"),33,IF(AND(G365="Technical Staff",D365="Turkmenistan"),22,IF(AND(G365="Administrative staff",D365="Turkmenistan"),17,IF(AND(G365="Manager",D365="Tajikistan"),47,IF(AND(G365="Teacher/Trainer/Researcher",D365="Tajikistan"),33,IF(AND(G365="Technical Staff",D365="Tajikistan"),22,IF(AND(G365="Administrative staff",D365="Tajikistan"),17,))))))))))))))))))))))))</f>
        <v>0</v>
      </c>
      <c r="N365" s="99">
        <f>Tabla3[[#This Row],[NUMBER OF DAYS]]*Tabla3[[#This Row],[MAX. UNIT COST PER DAY]]</f>
        <v>0</v>
      </c>
    </row>
    <row r="366" spans="1:34" s="96" customFormat="1" x14ac:dyDescent="0.25">
      <c r="A366" s="103"/>
      <c r="B366" s="103"/>
      <c r="C366" s="103"/>
      <c r="D366" s="103"/>
      <c r="E366" s="104"/>
      <c r="F366" s="103"/>
      <c r="G366" s="103"/>
      <c r="H366" s="103"/>
      <c r="I366" s="103"/>
      <c r="J366" s="104"/>
      <c r="K366" s="104"/>
      <c r="L366" s="103"/>
      <c r="M366" s="105"/>
      <c r="N366" s="105"/>
      <c r="O366" s="126"/>
      <c r="P366" s="126"/>
      <c r="Q366" s="126"/>
      <c r="R366" s="126"/>
      <c r="S366" s="126"/>
      <c r="T366" s="126"/>
      <c r="U366" s="126"/>
      <c r="V366" s="126"/>
      <c r="W366" s="126"/>
      <c r="X366" s="126"/>
      <c r="Y366" s="126"/>
      <c r="Z366" s="126"/>
      <c r="AA366" s="126"/>
      <c r="AB366" s="126"/>
      <c r="AC366" s="126"/>
      <c r="AD366" s="126"/>
      <c r="AE366" s="126"/>
      <c r="AF366" s="126"/>
      <c r="AG366" s="126"/>
      <c r="AH366" s="126"/>
    </row>
    <row r="367" spans="1:34" x14ac:dyDescent="0.25">
      <c r="A367" s="81" t="s">
        <v>29</v>
      </c>
      <c r="B367" s="81"/>
      <c r="C367" s="81"/>
      <c r="D367" s="81"/>
      <c r="E367" s="82"/>
      <c r="F367" s="81"/>
      <c r="G367" s="81"/>
      <c r="H367" s="81"/>
      <c r="I367" s="81"/>
      <c r="J367" s="82"/>
      <c r="K367" s="82"/>
      <c r="L367" s="81">
        <f>SUM(L2:L365)</f>
        <v>2436</v>
      </c>
      <c r="M367" s="224"/>
      <c r="N367" s="224">
        <f>SUBTOTAL(109,Tabla3[TOTAL CALCULATED])</f>
        <v>231165</v>
      </c>
    </row>
  </sheetData>
  <phoneticPr fontId="17" type="noConversion"/>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54805F0D-8173-4853-A475-5C639ACFC101}">
          <x14:formula1>
            <xm:f>Data!$H$3:$H$16</xm:f>
          </x14:formula1>
          <xm:sqref>C2:C365</xm:sqref>
        </x14:dataValidation>
        <x14:dataValidation type="list" allowBlank="1" showInputMessage="1" showErrorMessage="1" xr:uid="{88057D7F-E252-4A30-BD30-538A40E179B3}">
          <x14:formula1>
            <xm:f>Data!$I$3:$I$16</xm:f>
          </x14:formula1>
          <xm:sqref>D2:D365</xm:sqref>
        </x14:dataValidation>
        <x14:dataValidation type="list" allowBlank="1" showInputMessage="1" showErrorMessage="1" xr:uid="{CBDFFCE0-1BA4-4B81-8E3D-9803CE7A49F4}">
          <x14:formula1>
            <xm:f>Data!$G$3:$G$16</xm:f>
          </x14:formula1>
          <xm:sqref>B2:B365</xm:sqref>
        </x14:dataValidation>
        <x14:dataValidation type="list" allowBlank="1" showInputMessage="1" showErrorMessage="1" xr:uid="{75490328-E7ED-4FB9-B246-A614D27F5600}">
          <x14:formula1>
            <xm:f>Data!$E$10:$E$13</xm:f>
          </x14:formula1>
          <xm:sqref>G2:G365</xm:sqref>
        </x14:dataValidation>
        <x14:dataValidation type="list" allowBlank="1" showInputMessage="1" showErrorMessage="1" xr:uid="{00000000-0002-0000-0500-000000000000}">
          <x14:formula1>
            <xm:f>Data!$E$3:$E$7</xm:f>
          </x14:formula1>
          <xm:sqref>A2:A366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O53"/>
  <sheetViews>
    <sheetView workbookViewId="0">
      <selection activeCell="C45" sqref="C45"/>
    </sheetView>
  </sheetViews>
  <sheetFormatPr baseColWidth="10" defaultColWidth="11.42578125" defaultRowHeight="12" x14ac:dyDescent="0.2"/>
  <cols>
    <col min="1" max="1" width="12.85546875" style="37" bestFit="1" customWidth="1"/>
    <col min="2" max="2" width="5.5703125" style="37" customWidth="1"/>
    <col min="3" max="3" width="40.7109375" style="37" bestFit="1" customWidth="1"/>
    <col min="4" max="4" width="10.42578125" style="77" customWidth="1"/>
    <col min="5" max="5" width="6.7109375" style="37" customWidth="1"/>
    <col min="6" max="6" width="21.5703125" style="37" customWidth="1"/>
    <col min="7" max="7" width="7.42578125" style="77" customWidth="1"/>
    <col min="8" max="8" width="15.85546875" style="37" customWidth="1"/>
    <col min="9" max="9" width="14.7109375" style="37" customWidth="1"/>
    <col min="10" max="10" width="12.140625" style="77" customWidth="1"/>
    <col min="11" max="11" width="11.5703125" style="77" bestFit="1" customWidth="1"/>
    <col min="12" max="12" width="7.5703125" style="77" customWidth="1"/>
    <col min="13" max="13" width="9.28515625" style="77" customWidth="1"/>
    <col min="14" max="14" width="12.140625" style="37" bestFit="1" customWidth="1"/>
    <col min="15" max="15" width="15.140625" style="38" bestFit="1" customWidth="1"/>
    <col min="16" max="16384" width="11.42578125" style="37"/>
  </cols>
  <sheetData>
    <row r="1" spans="1:15" s="74" customFormat="1" ht="22.5" x14ac:dyDescent="0.25">
      <c r="A1" s="72" t="s">
        <v>65</v>
      </c>
      <c r="B1" s="72" t="s">
        <v>130</v>
      </c>
      <c r="C1" s="72" t="s">
        <v>131</v>
      </c>
      <c r="D1" s="72" t="s">
        <v>18</v>
      </c>
      <c r="E1" s="72" t="s">
        <v>132</v>
      </c>
      <c r="F1" s="72" t="s">
        <v>133</v>
      </c>
      <c r="G1" s="72" t="s">
        <v>19</v>
      </c>
      <c r="H1" s="72" t="s">
        <v>134</v>
      </c>
      <c r="I1" s="72" t="s">
        <v>135</v>
      </c>
      <c r="J1" s="72" t="s">
        <v>20</v>
      </c>
      <c r="K1" s="72" t="s">
        <v>136</v>
      </c>
      <c r="L1" s="72" t="s">
        <v>137</v>
      </c>
      <c r="M1" s="72" t="s">
        <v>21</v>
      </c>
      <c r="N1" s="72" t="s">
        <v>138</v>
      </c>
      <c r="O1" s="73" t="s">
        <v>139</v>
      </c>
    </row>
    <row r="2" spans="1:15" x14ac:dyDescent="0.2">
      <c r="A2" s="45" t="s">
        <v>74</v>
      </c>
      <c r="B2" s="45" t="s">
        <v>51</v>
      </c>
      <c r="C2" s="45" t="s">
        <v>94</v>
      </c>
      <c r="D2" s="75" t="s">
        <v>63</v>
      </c>
      <c r="E2" s="45" t="s">
        <v>261</v>
      </c>
      <c r="F2" s="45" t="s">
        <v>114</v>
      </c>
      <c r="G2" s="75" t="s">
        <v>25</v>
      </c>
      <c r="H2" s="45" t="s">
        <v>95</v>
      </c>
      <c r="I2" s="45" t="s">
        <v>115</v>
      </c>
      <c r="J2" s="78">
        <v>43856</v>
      </c>
      <c r="K2" s="78">
        <v>43858</v>
      </c>
      <c r="L2" s="75">
        <v>3</v>
      </c>
      <c r="M2" s="75">
        <v>1116</v>
      </c>
      <c r="N2" s="46">
        <v>275</v>
      </c>
      <c r="O2" s="46">
        <f>Tabla2[[#This Row],[Nº OF DAYS]]*120</f>
        <v>360</v>
      </c>
    </row>
    <row r="3" spans="1:15" x14ac:dyDescent="0.2">
      <c r="A3" s="45" t="s">
        <v>24</v>
      </c>
      <c r="B3" s="45" t="s">
        <v>51</v>
      </c>
      <c r="C3" s="45" t="s">
        <v>94</v>
      </c>
      <c r="D3" s="75" t="s">
        <v>63</v>
      </c>
      <c r="E3" s="45" t="s">
        <v>721</v>
      </c>
      <c r="F3" s="45" t="s">
        <v>403</v>
      </c>
      <c r="G3" s="75" t="s">
        <v>25</v>
      </c>
      <c r="H3" s="45" t="s">
        <v>95</v>
      </c>
      <c r="I3" s="45" t="s">
        <v>108</v>
      </c>
      <c r="J3" s="78">
        <v>44527</v>
      </c>
      <c r="K3" s="78">
        <v>44532</v>
      </c>
      <c r="L3" s="75">
        <v>4</v>
      </c>
      <c r="M3" s="75">
        <v>6298</v>
      </c>
      <c r="N3" s="46">
        <v>820</v>
      </c>
      <c r="O3" s="70">
        <f>Tabla2[[#This Row],[Nº OF DAYS]]*120</f>
        <v>480</v>
      </c>
    </row>
    <row r="4" spans="1:15" x14ac:dyDescent="0.2">
      <c r="A4" s="66"/>
      <c r="B4" s="66"/>
      <c r="C4" s="66"/>
      <c r="D4" s="69"/>
      <c r="E4" s="66"/>
      <c r="F4" s="66"/>
      <c r="G4" s="69"/>
      <c r="H4" s="66"/>
      <c r="I4" s="66"/>
      <c r="J4" s="80"/>
      <c r="K4" s="80"/>
      <c r="L4" s="69"/>
      <c r="M4" s="69"/>
      <c r="N4" s="67"/>
      <c r="O4" s="68">
        <f>Tabla2[[#This Row],[Nº OF DAYS]]*120</f>
        <v>0</v>
      </c>
    </row>
    <row r="5" spans="1:15" x14ac:dyDescent="0.2">
      <c r="A5" s="64" t="s">
        <v>24</v>
      </c>
      <c r="B5" s="64" t="s">
        <v>52</v>
      </c>
      <c r="C5" s="64" t="s">
        <v>96</v>
      </c>
      <c r="D5" s="76" t="s">
        <v>63</v>
      </c>
      <c r="E5" s="45" t="s">
        <v>147</v>
      </c>
      <c r="F5" s="45" t="s">
        <v>144</v>
      </c>
      <c r="G5" s="75" t="s">
        <v>25</v>
      </c>
      <c r="H5" s="64" t="s">
        <v>95</v>
      </c>
      <c r="I5" s="64" t="s">
        <v>106</v>
      </c>
      <c r="J5" s="220">
        <v>44519</v>
      </c>
      <c r="K5" s="79">
        <v>44524</v>
      </c>
      <c r="L5" s="76">
        <v>4</v>
      </c>
      <c r="M5" s="75">
        <v>5887</v>
      </c>
      <c r="N5" s="46">
        <v>820</v>
      </c>
      <c r="O5" s="65">
        <f>Tabla2[[#This Row],[Nº OF DAYS]]*120</f>
        <v>480</v>
      </c>
    </row>
    <row r="6" spans="1:15" x14ac:dyDescent="0.2">
      <c r="A6" s="45" t="s">
        <v>24</v>
      </c>
      <c r="B6" s="64" t="s">
        <v>52</v>
      </c>
      <c r="C6" s="64" t="s">
        <v>96</v>
      </c>
      <c r="D6" s="76" t="s">
        <v>63</v>
      </c>
      <c r="E6" s="45" t="s">
        <v>148</v>
      </c>
      <c r="F6" s="45" t="s">
        <v>144</v>
      </c>
      <c r="G6" s="75" t="s">
        <v>25</v>
      </c>
      <c r="H6" s="45" t="s">
        <v>106</v>
      </c>
      <c r="I6" s="45" t="s">
        <v>101</v>
      </c>
      <c r="J6" s="79">
        <v>44524</v>
      </c>
      <c r="K6" s="78">
        <v>44527</v>
      </c>
      <c r="L6" s="75">
        <v>3</v>
      </c>
      <c r="M6" s="75">
        <v>689</v>
      </c>
      <c r="N6" s="46">
        <v>275</v>
      </c>
      <c r="O6" s="70">
        <f>Tabla2[[#This Row],[Nº OF DAYS]]*120</f>
        <v>360</v>
      </c>
    </row>
    <row r="7" spans="1:15" x14ac:dyDescent="0.2">
      <c r="A7" s="64" t="s">
        <v>24</v>
      </c>
      <c r="B7" s="64" t="s">
        <v>52</v>
      </c>
      <c r="C7" s="64" t="s">
        <v>96</v>
      </c>
      <c r="D7" s="76" t="s">
        <v>63</v>
      </c>
      <c r="E7" s="45" t="s">
        <v>149</v>
      </c>
      <c r="F7" s="45" t="s">
        <v>144</v>
      </c>
      <c r="G7" s="75" t="s">
        <v>25</v>
      </c>
      <c r="H7" s="45" t="s">
        <v>101</v>
      </c>
      <c r="I7" s="45" t="s">
        <v>108</v>
      </c>
      <c r="J7" s="78">
        <v>44528</v>
      </c>
      <c r="K7" s="78">
        <v>44533</v>
      </c>
      <c r="L7" s="75">
        <v>4</v>
      </c>
      <c r="M7" s="75">
        <v>1672</v>
      </c>
      <c r="N7" s="46">
        <v>275</v>
      </c>
      <c r="O7" s="70">
        <f>Tabla2[[#This Row],[Nº OF DAYS]]*120</f>
        <v>480</v>
      </c>
    </row>
    <row r="8" spans="1:15" x14ac:dyDescent="0.2">
      <c r="A8" s="45" t="s">
        <v>24</v>
      </c>
      <c r="B8" s="64" t="s">
        <v>52</v>
      </c>
      <c r="C8" s="64" t="s">
        <v>96</v>
      </c>
      <c r="D8" s="76" t="s">
        <v>63</v>
      </c>
      <c r="E8" s="45" t="s">
        <v>150</v>
      </c>
      <c r="F8" s="45" t="s">
        <v>561</v>
      </c>
      <c r="G8" s="75" t="s">
        <v>25</v>
      </c>
      <c r="H8" s="64" t="s">
        <v>95</v>
      </c>
      <c r="I8" s="64" t="s">
        <v>106</v>
      </c>
      <c r="J8" s="79">
        <v>44521</v>
      </c>
      <c r="K8" s="79">
        <v>44524</v>
      </c>
      <c r="L8" s="76">
        <v>4</v>
      </c>
      <c r="M8" s="75">
        <v>5887</v>
      </c>
      <c r="N8" s="46">
        <v>820</v>
      </c>
      <c r="O8" s="70">
        <f>Tabla2[[#This Row],[Nº OF DAYS]]*120</f>
        <v>480</v>
      </c>
    </row>
    <row r="9" spans="1:15" x14ac:dyDescent="0.2">
      <c r="A9" s="64" t="s">
        <v>24</v>
      </c>
      <c r="B9" s="64" t="s">
        <v>52</v>
      </c>
      <c r="C9" s="64" t="s">
        <v>96</v>
      </c>
      <c r="D9" s="76" t="s">
        <v>63</v>
      </c>
      <c r="E9" s="45" t="s">
        <v>328</v>
      </c>
      <c r="F9" s="45" t="s">
        <v>561</v>
      </c>
      <c r="G9" s="75" t="s">
        <v>25</v>
      </c>
      <c r="H9" s="45" t="s">
        <v>106</v>
      </c>
      <c r="I9" s="45" t="s">
        <v>101</v>
      </c>
      <c r="J9" s="79">
        <v>44524</v>
      </c>
      <c r="K9" s="78">
        <v>44527</v>
      </c>
      <c r="L9" s="75">
        <v>3</v>
      </c>
      <c r="M9" s="75">
        <v>689</v>
      </c>
      <c r="N9" s="46">
        <v>275</v>
      </c>
      <c r="O9" s="70">
        <f>Tabla2[[#This Row],[Nº OF DAYS]]*120</f>
        <v>360</v>
      </c>
    </row>
    <row r="10" spans="1:15" x14ac:dyDescent="0.2">
      <c r="A10" s="45" t="s">
        <v>24</v>
      </c>
      <c r="B10" s="64" t="s">
        <v>52</v>
      </c>
      <c r="C10" s="64" t="s">
        <v>96</v>
      </c>
      <c r="D10" s="76" t="s">
        <v>63</v>
      </c>
      <c r="E10" s="45" t="s">
        <v>330</v>
      </c>
      <c r="F10" s="45" t="s">
        <v>561</v>
      </c>
      <c r="G10" s="75" t="s">
        <v>25</v>
      </c>
      <c r="H10" s="45" t="s">
        <v>101</v>
      </c>
      <c r="I10" s="45" t="s">
        <v>108</v>
      </c>
      <c r="J10" s="78">
        <v>44528</v>
      </c>
      <c r="K10" s="78">
        <v>44531</v>
      </c>
      <c r="L10" s="75">
        <v>4</v>
      </c>
      <c r="M10" s="75">
        <v>1672</v>
      </c>
      <c r="N10" s="46">
        <v>275</v>
      </c>
      <c r="O10" s="70">
        <f>Tabla2[[#This Row],[Nº OF DAYS]]*120</f>
        <v>480</v>
      </c>
    </row>
    <row r="11" spans="1:15" x14ac:dyDescent="0.2">
      <c r="A11" s="66"/>
      <c r="B11" s="66"/>
      <c r="C11" s="66"/>
      <c r="D11" s="69"/>
      <c r="E11" s="66"/>
      <c r="F11" s="66"/>
      <c r="G11" s="69"/>
      <c r="H11" s="66"/>
      <c r="I11" s="66"/>
      <c r="J11" s="80"/>
      <c r="K11" s="80"/>
      <c r="L11" s="69"/>
      <c r="M11" s="69"/>
      <c r="N11" s="67"/>
      <c r="O11" s="68">
        <f>Tabla2[[#This Row],[Nº OF DAYS]]*120</f>
        <v>0</v>
      </c>
    </row>
    <row r="12" spans="1:15" x14ac:dyDescent="0.2">
      <c r="A12" s="64"/>
      <c r="B12" s="64" t="s">
        <v>53</v>
      </c>
      <c r="C12" s="64" t="s">
        <v>97</v>
      </c>
      <c r="D12" s="76" t="s">
        <v>90</v>
      </c>
      <c r="E12" s="64"/>
      <c r="F12" s="64"/>
      <c r="G12" s="75" t="s">
        <v>25</v>
      </c>
      <c r="H12" s="64"/>
      <c r="I12" s="64"/>
      <c r="J12" s="79"/>
      <c r="K12" s="79"/>
      <c r="L12" s="76"/>
      <c r="M12" s="76"/>
      <c r="N12" s="46"/>
      <c r="O12" s="65">
        <f>Tabla2[[#This Row],[Nº OF DAYS]]*120</f>
        <v>0</v>
      </c>
    </row>
    <row r="13" spans="1:15" x14ac:dyDescent="0.2">
      <c r="A13" s="66"/>
      <c r="B13" s="66"/>
      <c r="C13" s="66"/>
      <c r="D13" s="69"/>
      <c r="E13" s="66"/>
      <c r="F13" s="66"/>
      <c r="G13" s="69"/>
      <c r="H13" s="66"/>
      <c r="I13" s="66"/>
      <c r="J13" s="80"/>
      <c r="K13" s="80"/>
      <c r="L13" s="69"/>
      <c r="M13" s="69"/>
      <c r="N13" s="67"/>
      <c r="O13" s="68">
        <f>Tabla2[[#This Row],[Nº OF DAYS]]*120</f>
        <v>0</v>
      </c>
    </row>
    <row r="14" spans="1:15" x14ac:dyDescent="0.2">
      <c r="A14" s="64"/>
      <c r="B14" s="64" t="s">
        <v>54</v>
      </c>
      <c r="C14" s="64" t="s">
        <v>99</v>
      </c>
      <c r="D14" s="76" t="s">
        <v>91</v>
      </c>
      <c r="E14" s="64"/>
      <c r="F14" s="64"/>
      <c r="G14" s="75" t="s">
        <v>25</v>
      </c>
      <c r="H14" s="64"/>
      <c r="I14" s="64"/>
      <c r="J14" s="79"/>
      <c r="K14" s="79"/>
      <c r="L14" s="76"/>
      <c r="M14" s="76"/>
      <c r="N14" s="46"/>
      <c r="O14" s="65">
        <f>Tabla2[[#This Row],[Nº OF DAYS]]*120</f>
        <v>0</v>
      </c>
    </row>
    <row r="15" spans="1:15" x14ac:dyDescent="0.2">
      <c r="A15" s="66"/>
      <c r="B15" s="66"/>
      <c r="C15" s="66"/>
      <c r="D15" s="69"/>
      <c r="E15" s="66"/>
      <c r="F15" s="66"/>
      <c r="G15" s="69"/>
      <c r="H15" s="66"/>
      <c r="I15" s="66"/>
      <c r="J15" s="80"/>
      <c r="K15" s="80"/>
      <c r="L15" s="69"/>
      <c r="M15" s="69"/>
      <c r="N15" s="67"/>
      <c r="O15" s="68">
        <f>Tabla2[[#This Row],[Nº OF DAYS]]*120</f>
        <v>0</v>
      </c>
    </row>
    <row r="16" spans="1:15" x14ac:dyDescent="0.2">
      <c r="A16" s="64" t="s">
        <v>24</v>
      </c>
      <c r="B16" s="64" t="s">
        <v>55</v>
      </c>
      <c r="C16" s="64" t="s">
        <v>653</v>
      </c>
      <c r="D16" s="76" t="s">
        <v>449</v>
      </c>
      <c r="E16" s="45" t="s">
        <v>190</v>
      </c>
      <c r="F16" s="64" t="s">
        <v>214</v>
      </c>
      <c r="G16" s="75" t="s">
        <v>25</v>
      </c>
      <c r="H16" s="64" t="s">
        <v>101</v>
      </c>
      <c r="I16" s="64" t="s">
        <v>106</v>
      </c>
      <c r="J16" s="79">
        <v>44520</v>
      </c>
      <c r="K16" s="79">
        <v>44525</v>
      </c>
      <c r="L16" s="76">
        <v>4</v>
      </c>
      <c r="M16" s="76">
        <v>689</v>
      </c>
      <c r="N16" s="46">
        <v>275</v>
      </c>
      <c r="O16" s="65">
        <f>Tabla2[[#This Row],[Nº OF DAYS]]*120</f>
        <v>480</v>
      </c>
    </row>
    <row r="17" spans="1:15" x14ac:dyDescent="0.2">
      <c r="A17" s="45" t="s">
        <v>24</v>
      </c>
      <c r="B17" s="64" t="s">
        <v>55</v>
      </c>
      <c r="C17" s="64" t="s">
        <v>653</v>
      </c>
      <c r="D17" s="76" t="s">
        <v>449</v>
      </c>
      <c r="E17" s="45" t="s">
        <v>232</v>
      </c>
      <c r="F17" s="45" t="s">
        <v>219</v>
      </c>
      <c r="G17" s="75" t="s">
        <v>25</v>
      </c>
      <c r="H17" s="64" t="s">
        <v>101</v>
      </c>
      <c r="I17" s="64" t="s">
        <v>106</v>
      </c>
      <c r="J17" s="79">
        <v>44520</v>
      </c>
      <c r="K17" s="79">
        <v>44525</v>
      </c>
      <c r="L17" s="76">
        <v>4</v>
      </c>
      <c r="M17" s="76">
        <v>689</v>
      </c>
      <c r="N17" s="46">
        <v>275</v>
      </c>
      <c r="O17" s="70">
        <f>Tabla2[[#This Row],[Nº OF DAYS]]*120</f>
        <v>480</v>
      </c>
    </row>
    <row r="18" spans="1:15" x14ac:dyDescent="0.2">
      <c r="A18" s="45" t="s">
        <v>24</v>
      </c>
      <c r="B18" s="64" t="s">
        <v>55</v>
      </c>
      <c r="C18" s="64" t="s">
        <v>653</v>
      </c>
      <c r="D18" s="76" t="s">
        <v>449</v>
      </c>
      <c r="E18" s="45" t="s">
        <v>233</v>
      </c>
      <c r="F18" s="45" t="s">
        <v>219</v>
      </c>
      <c r="G18" s="75" t="s">
        <v>25</v>
      </c>
      <c r="H18" s="45" t="s">
        <v>101</v>
      </c>
      <c r="I18" s="45" t="s">
        <v>108</v>
      </c>
      <c r="J18" s="78">
        <v>44527</v>
      </c>
      <c r="K18" s="78">
        <v>44531</v>
      </c>
      <c r="L18" s="75">
        <v>4</v>
      </c>
      <c r="M18" s="75">
        <v>1672</v>
      </c>
      <c r="N18" s="46">
        <v>275</v>
      </c>
      <c r="O18" s="70">
        <f>Tabla2[[#This Row],[Nº OF DAYS]]*120</f>
        <v>480</v>
      </c>
    </row>
    <row r="19" spans="1:15" x14ac:dyDescent="0.2">
      <c r="A19" s="66"/>
      <c r="B19" s="66"/>
      <c r="C19" s="66"/>
      <c r="D19" s="69"/>
      <c r="E19" s="66"/>
      <c r="F19" s="66"/>
      <c r="G19" s="69"/>
      <c r="H19" s="66"/>
      <c r="I19" s="66"/>
      <c r="J19" s="80"/>
      <c r="K19" s="80"/>
      <c r="L19" s="69"/>
      <c r="M19" s="69"/>
      <c r="N19" s="67"/>
      <c r="O19" s="68">
        <f>Tabla2[[#This Row],[Nº OF DAYS]]*120</f>
        <v>0</v>
      </c>
    </row>
    <row r="20" spans="1:15" x14ac:dyDescent="0.2">
      <c r="A20" s="45"/>
      <c r="B20" s="45" t="s">
        <v>56</v>
      </c>
      <c r="C20" s="45" t="s">
        <v>102</v>
      </c>
      <c r="D20" s="75" t="s">
        <v>92</v>
      </c>
      <c r="E20" s="45"/>
      <c r="F20" s="45"/>
      <c r="G20" s="75" t="s">
        <v>25</v>
      </c>
      <c r="H20" s="45"/>
      <c r="I20" s="45"/>
      <c r="J20" s="78"/>
      <c r="K20" s="78"/>
      <c r="L20" s="75"/>
      <c r="M20" s="75"/>
      <c r="N20" s="46"/>
      <c r="O20" s="70">
        <f>Tabla2[[#This Row],[Nº OF DAYS]]*120</f>
        <v>0</v>
      </c>
    </row>
    <row r="21" spans="1:15" x14ac:dyDescent="0.2">
      <c r="A21" s="66"/>
      <c r="B21" s="66"/>
      <c r="C21" s="66"/>
      <c r="D21" s="69"/>
      <c r="E21" s="66"/>
      <c r="F21" s="66"/>
      <c r="G21" s="69"/>
      <c r="H21" s="66"/>
      <c r="I21" s="66"/>
      <c r="J21" s="80"/>
      <c r="K21" s="80"/>
      <c r="L21" s="69"/>
      <c r="M21" s="69"/>
      <c r="N21" s="67"/>
      <c r="O21" s="68">
        <f>Tabla2[[#This Row],[Nº OF DAYS]]*120</f>
        <v>0</v>
      </c>
    </row>
    <row r="22" spans="1:15" x14ac:dyDescent="0.2">
      <c r="A22" s="45"/>
      <c r="B22" s="45" t="s">
        <v>57</v>
      </c>
      <c r="C22" s="45" t="s">
        <v>104</v>
      </c>
      <c r="D22" s="75" t="s">
        <v>92</v>
      </c>
      <c r="E22" s="45"/>
      <c r="F22" s="45"/>
      <c r="G22" s="75" t="s">
        <v>25</v>
      </c>
      <c r="H22" s="45"/>
      <c r="I22" s="45"/>
      <c r="J22" s="78"/>
      <c r="K22" s="78"/>
      <c r="L22" s="75"/>
      <c r="M22" s="75"/>
      <c r="N22" s="46"/>
      <c r="O22" s="70">
        <f>Tabla2[[#This Row],[Nº OF DAYS]]*120</f>
        <v>0</v>
      </c>
    </row>
    <row r="23" spans="1:15" x14ac:dyDescent="0.2">
      <c r="A23" s="66"/>
      <c r="B23" s="66"/>
      <c r="C23" s="66"/>
      <c r="D23" s="69"/>
      <c r="E23" s="66"/>
      <c r="F23" s="66"/>
      <c r="G23" s="69"/>
      <c r="H23" s="66"/>
      <c r="I23" s="66"/>
      <c r="J23" s="80"/>
      <c r="K23" s="80"/>
      <c r="L23" s="69"/>
      <c r="M23" s="69"/>
      <c r="N23" s="67"/>
      <c r="O23" s="68">
        <f>Tabla2[[#This Row],[Nº OF DAYS]]*120</f>
        <v>0</v>
      </c>
    </row>
    <row r="24" spans="1:15" x14ac:dyDescent="0.2">
      <c r="A24" s="45"/>
      <c r="B24" s="45" t="s">
        <v>58</v>
      </c>
      <c r="C24" s="45" t="s">
        <v>105</v>
      </c>
      <c r="D24" s="75" t="s">
        <v>92</v>
      </c>
      <c r="E24" s="45"/>
      <c r="F24" s="45"/>
      <c r="G24" s="75" t="s">
        <v>25</v>
      </c>
      <c r="H24" s="45"/>
      <c r="I24" s="45"/>
      <c r="J24" s="78"/>
      <c r="K24" s="78"/>
      <c r="L24" s="75"/>
      <c r="M24" s="75"/>
      <c r="N24" s="46"/>
      <c r="O24" s="70">
        <f>Tabla2[[#This Row],[Nº OF DAYS]]*120</f>
        <v>0</v>
      </c>
    </row>
    <row r="25" spans="1:15" x14ac:dyDescent="0.2">
      <c r="A25" s="66"/>
      <c r="B25" s="66"/>
      <c r="C25" s="66"/>
      <c r="D25" s="69"/>
      <c r="E25" s="66"/>
      <c r="F25" s="66"/>
      <c r="G25" s="69"/>
      <c r="H25" s="66"/>
      <c r="I25" s="66"/>
      <c r="J25" s="80"/>
      <c r="K25" s="80"/>
      <c r="L25" s="69"/>
      <c r="M25" s="69"/>
      <c r="N25" s="67"/>
      <c r="O25" s="68">
        <f>Tabla2[[#This Row],[Nº OF DAYS]]*120</f>
        <v>0</v>
      </c>
    </row>
    <row r="26" spans="1:15" x14ac:dyDescent="0.2">
      <c r="A26" s="45" t="s">
        <v>24</v>
      </c>
      <c r="B26" s="45" t="s">
        <v>59</v>
      </c>
      <c r="C26" s="45" t="s">
        <v>789</v>
      </c>
      <c r="D26" s="75" t="s">
        <v>449</v>
      </c>
      <c r="E26" s="45" t="s">
        <v>155</v>
      </c>
      <c r="F26" s="45" t="s">
        <v>165</v>
      </c>
      <c r="G26" s="75" t="s">
        <v>25</v>
      </c>
      <c r="H26" s="45" t="s">
        <v>106</v>
      </c>
      <c r="I26" s="45" t="s">
        <v>101</v>
      </c>
      <c r="J26" s="78">
        <v>44524</v>
      </c>
      <c r="K26" s="78">
        <v>44527</v>
      </c>
      <c r="L26" s="213">
        <v>4</v>
      </c>
      <c r="M26" s="75">
        <v>689</v>
      </c>
      <c r="N26" s="46">
        <v>275</v>
      </c>
      <c r="O26" s="70">
        <f>Tabla2[[#This Row],[Nº OF DAYS]]*120</f>
        <v>480</v>
      </c>
    </row>
    <row r="27" spans="1:15" x14ac:dyDescent="0.2">
      <c r="A27" s="45" t="s">
        <v>24</v>
      </c>
      <c r="B27" s="45" t="s">
        <v>59</v>
      </c>
      <c r="C27" s="45" t="s">
        <v>789</v>
      </c>
      <c r="D27" s="75" t="s">
        <v>449</v>
      </c>
      <c r="E27" s="45" t="s">
        <v>157</v>
      </c>
      <c r="F27" s="45" t="s">
        <v>165</v>
      </c>
      <c r="G27" s="75" t="s">
        <v>25</v>
      </c>
      <c r="H27" s="45" t="s">
        <v>101</v>
      </c>
      <c r="I27" s="45" t="s">
        <v>108</v>
      </c>
      <c r="J27" s="78">
        <v>44528</v>
      </c>
      <c r="K27" s="78">
        <v>44532</v>
      </c>
      <c r="L27" s="213">
        <v>4</v>
      </c>
      <c r="M27" s="75">
        <v>1672</v>
      </c>
      <c r="N27" s="46">
        <v>275</v>
      </c>
      <c r="O27" s="70">
        <f>Tabla2[[#This Row],[Nº OF DAYS]]*120</f>
        <v>480</v>
      </c>
    </row>
    <row r="28" spans="1:15" x14ac:dyDescent="0.2">
      <c r="A28" s="45" t="s">
        <v>24</v>
      </c>
      <c r="B28" s="45" t="s">
        <v>59</v>
      </c>
      <c r="C28" s="45" t="s">
        <v>789</v>
      </c>
      <c r="D28" s="75" t="s">
        <v>449</v>
      </c>
      <c r="E28" s="45" t="s">
        <v>160</v>
      </c>
      <c r="F28" s="45" t="s">
        <v>171</v>
      </c>
      <c r="G28" s="75" t="s">
        <v>25</v>
      </c>
      <c r="H28" s="45" t="s">
        <v>106</v>
      </c>
      <c r="I28" s="45" t="s">
        <v>101</v>
      </c>
      <c r="J28" s="78">
        <v>44524</v>
      </c>
      <c r="K28" s="78">
        <v>44527</v>
      </c>
      <c r="L28" s="213">
        <v>4</v>
      </c>
      <c r="M28" s="75">
        <v>689</v>
      </c>
      <c r="N28" s="46">
        <v>275</v>
      </c>
      <c r="O28" s="70">
        <f>Tabla2[[#This Row],[Nº OF DAYS]]*120</f>
        <v>480</v>
      </c>
    </row>
    <row r="29" spans="1:15" x14ac:dyDescent="0.2">
      <c r="A29" s="45" t="s">
        <v>24</v>
      </c>
      <c r="B29" s="45" t="s">
        <v>59</v>
      </c>
      <c r="C29" s="45" t="s">
        <v>789</v>
      </c>
      <c r="D29" s="75" t="s">
        <v>449</v>
      </c>
      <c r="E29" s="45" t="s">
        <v>163</v>
      </c>
      <c r="F29" s="45" t="s">
        <v>171</v>
      </c>
      <c r="G29" s="75" t="s">
        <v>25</v>
      </c>
      <c r="H29" s="45" t="s">
        <v>101</v>
      </c>
      <c r="I29" s="45" t="s">
        <v>108</v>
      </c>
      <c r="J29" s="78">
        <v>44528</v>
      </c>
      <c r="K29" s="78">
        <v>44532</v>
      </c>
      <c r="L29" s="213">
        <v>4</v>
      </c>
      <c r="M29" s="75">
        <v>1672</v>
      </c>
      <c r="N29" s="46">
        <v>275</v>
      </c>
      <c r="O29" s="70">
        <f>Tabla2[[#This Row],[Nº OF DAYS]]*120</f>
        <v>480</v>
      </c>
    </row>
    <row r="30" spans="1:15" x14ac:dyDescent="0.2">
      <c r="A30" s="66"/>
      <c r="B30" s="66"/>
      <c r="C30" s="66"/>
      <c r="D30" s="69"/>
      <c r="E30" s="66"/>
      <c r="F30" s="66"/>
      <c r="G30" s="69"/>
      <c r="H30" s="66"/>
      <c r="I30" s="66"/>
      <c r="J30" s="80"/>
      <c r="K30" s="80"/>
      <c r="L30" s="69"/>
      <c r="M30" s="69"/>
      <c r="N30" s="67"/>
      <c r="O30" s="68">
        <f>Tabla2[[#This Row],[Nº OF DAYS]]*120</f>
        <v>0</v>
      </c>
    </row>
    <row r="31" spans="1:15" x14ac:dyDescent="0.2">
      <c r="A31" s="45" t="s">
        <v>24</v>
      </c>
      <c r="B31" s="45" t="s">
        <v>60</v>
      </c>
      <c r="C31" s="45" t="s">
        <v>107</v>
      </c>
      <c r="D31" s="75" t="s">
        <v>93</v>
      </c>
      <c r="E31" s="45" t="s">
        <v>296</v>
      </c>
      <c r="F31" s="45" t="s">
        <v>732</v>
      </c>
      <c r="G31" s="75" t="s">
        <v>25</v>
      </c>
      <c r="H31" s="45" t="s">
        <v>108</v>
      </c>
      <c r="I31" s="45" t="s">
        <v>106</v>
      </c>
      <c r="J31" s="78">
        <v>44521</v>
      </c>
      <c r="K31" s="78">
        <v>44523</v>
      </c>
      <c r="L31" s="75">
        <v>3</v>
      </c>
      <c r="M31" s="75">
        <v>1296</v>
      </c>
      <c r="N31" s="46">
        <v>275</v>
      </c>
      <c r="O31" s="70">
        <f>Tabla2[[#This Row],[Nº OF DAYS]]*120</f>
        <v>360</v>
      </c>
    </row>
    <row r="32" spans="1:15" x14ac:dyDescent="0.2">
      <c r="A32" s="45" t="s">
        <v>24</v>
      </c>
      <c r="B32" s="45" t="s">
        <v>60</v>
      </c>
      <c r="C32" s="45" t="s">
        <v>107</v>
      </c>
      <c r="D32" s="75" t="s">
        <v>93</v>
      </c>
      <c r="E32" s="45" t="s">
        <v>302</v>
      </c>
      <c r="F32" s="45" t="s">
        <v>732</v>
      </c>
      <c r="G32" s="75" t="s">
        <v>25</v>
      </c>
      <c r="H32" s="45" t="s">
        <v>106</v>
      </c>
      <c r="I32" s="45" t="s">
        <v>101</v>
      </c>
      <c r="J32" s="78">
        <v>44524</v>
      </c>
      <c r="K32" s="78">
        <v>44527</v>
      </c>
      <c r="L32" s="75">
        <v>4</v>
      </c>
      <c r="M32" s="75">
        <v>689</v>
      </c>
      <c r="N32" s="46">
        <v>275</v>
      </c>
      <c r="O32" s="70">
        <f>Tabla2[[#This Row],[Nº OF DAYS]]*120</f>
        <v>480</v>
      </c>
    </row>
    <row r="33" spans="1:15" x14ac:dyDescent="0.2">
      <c r="A33" s="45" t="s">
        <v>24</v>
      </c>
      <c r="B33" s="45" t="s">
        <v>60</v>
      </c>
      <c r="C33" s="45" t="s">
        <v>107</v>
      </c>
      <c r="D33" s="75" t="s">
        <v>93</v>
      </c>
      <c r="E33" s="45" t="s">
        <v>304</v>
      </c>
      <c r="F33" s="45" t="s">
        <v>303</v>
      </c>
      <c r="G33" s="75" t="s">
        <v>25</v>
      </c>
      <c r="H33" s="45" t="s">
        <v>108</v>
      </c>
      <c r="I33" s="45" t="s">
        <v>106</v>
      </c>
      <c r="J33" s="78">
        <v>44521</v>
      </c>
      <c r="K33" s="78">
        <v>44523</v>
      </c>
      <c r="L33" s="75">
        <v>3</v>
      </c>
      <c r="M33" s="75">
        <v>1296</v>
      </c>
      <c r="N33" s="46">
        <v>275</v>
      </c>
      <c r="O33" s="70">
        <f>Tabla2[[#This Row],[Nº OF DAYS]]*120</f>
        <v>360</v>
      </c>
    </row>
    <row r="34" spans="1:15" x14ac:dyDescent="0.2">
      <c r="A34" s="45" t="s">
        <v>24</v>
      </c>
      <c r="B34" s="45" t="s">
        <v>60</v>
      </c>
      <c r="C34" s="45" t="s">
        <v>107</v>
      </c>
      <c r="D34" s="75" t="s">
        <v>93</v>
      </c>
      <c r="E34" s="45" t="s">
        <v>306</v>
      </c>
      <c r="F34" s="45" t="s">
        <v>303</v>
      </c>
      <c r="G34" s="75" t="s">
        <v>25</v>
      </c>
      <c r="H34" s="45" t="s">
        <v>106</v>
      </c>
      <c r="I34" s="45" t="s">
        <v>101</v>
      </c>
      <c r="J34" s="78">
        <v>44524</v>
      </c>
      <c r="K34" s="78">
        <v>44527</v>
      </c>
      <c r="L34" s="75">
        <v>4</v>
      </c>
      <c r="M34" s="75">
        <v>689</v>
      </c>
      <c r="N34" s="46">
        <v>275</v>
      </c>
      <c r="O34" s="70">
        <f>Tabla2[[#This Row],[Nº OF DAYS]]*120</f>
        <v>480</v>
      </c>
    </row>
    <row r="35" spans="1:15" x14ac:dyDescent="0.2">
      <c r="A35" s="66"/>
      <c r="B35" s="66"/>
      <c r="C35" s="66"/>
      <c r="D35" s="69"/>
      <c r="E35" s="66"/>
      <c r="F35" s="66"/>
      <c r="G35" s="69"/>
      <c r="H35" s="66"/>
      <c r="I35" s="66"/>
      <c r="J35" s="80"/>
      <c r="K35" s="80"/>
      <c r="L35" s="69"/>
      <c r="M35" s="69"/>
      <c r="N35" s="67"/>
      <c r="O35" s="68">
        <f>Tabla2[[#This Row],[Nº OF DAYS]]*120</f>
        <v>0</v>
      </c>
    </row>
    <row r="36" spans="1:15" x14ac:dyDescent="0.2">
      <c r="A36" s="45" t="s">
        <v>74</v>
      </c>
      <c r="B36" s="45" t="s">
        <v>61</v>
      </c>
      <c r="C36" s="45" t="s">
        <v>129</v>
      </c>
      <c r="D36" s="75" t="s">
        <v>93</v>
      </c>
      <c r="E36" s="45" t="s">
        <v>260</v>
      </c>
      <c r="F36" s="45" t="s">
        <v>116</v>
      </c>
      <c r="G36" s="75" t="s">
        <v>25</v>
      </c>
      <c r="H36" s="71" t="s">
        <v>117</v>
      </c>
      <c r="I36" s="45" t="s">
        <v>115</v>
      </c>
      <c r="J36" s="78">
        <v>43856</v>
      </c>
      <c r="K36" s="78">
        <v>43859</v>
      </c>
      <c r="L36" s="75">
        <v>4</v>
      </c>
      <c r="M36" s="206">
        <v>2234</v>
      </c>
      <c r="N36" s="46">
        <v>360</v>
      </c>
      <c r="O36" s="46">
        <f>Tabla2[[#This Row],[Nº OF DAYS]]*120</f>
        <v>480</v>
      </c>
    </row>
    <row r="37" spans="1:15" x14ac:dyDescent="0.2">
      <c r="A37" s="45" t="s">
        <v>24</v>
      </c>
      <c r="B37" s="45" t="s">
        <v>61</v>
      </c>
      <c r="C37" s="45" t="s">
        <v>129</v>
      </c>
      <c r="D37" s="75" t="s">
        <v>93</v>
      </c>
      <c r="E37" s="45" t="s">
        <v>267</v>
      </c>
      <c r="F37" s="45" t="s">
        <v>266</v>
      </c>
      <c r="G37" s="75" t="s">
        <v>25</v>
      </c>
      <c r="H37" s="45" t="s">
        <v>108</v>
      </c>
      <c r="I37" s="45" t="s">
        <v>106</v>
      </c>
      <c r="J37" s="78">
        <v>44521</v>
      </c>
      <c r="K37" s="78">
        <v>44523</v>
      </c>
      <c r="L37" s="75">
        <v>3</v>
      </c>
      <c r="M37" s="75">
        <v>1296</v>
      </c>
      <c r="N37" s="46">
        <v>275</v>
      </c>
      <c r="O37" s="70">
        <f>Tabla2[[#This Row],[Nº OF DAYS]]*120</f>
        <v>360</v>
      </c>
    </row>
    <row r="38" spans="1:15" x14ac:dyDescent="0.2">
      <c r="A38" s="45" t="s">
        <v>24</v>
      </c>
      <c r="B38" s="45" t="s">
        <v>61</v>
      </c>
      <c r="C38" s="45" t="s">
        <v>129</v>
      </c>
      <c r="D38" s="75" t="s">
        <v>93</v>
      </c>
      <c r="E38" s="45" t="s">
        <v>268</v>
      </c>
      <c r="F38" s="45" t="s">
        <v>266</v>
      </c>
      <c r="G38" s="75" t="s">
        <v>25</v>
      </c>
      <c r="H38" s="45" t="s">
        <v>106</v>
      </c>
      <c r="I38" s="45" t="s">
        <v>101</v>
      </c>
      <c r="J38" s="78">
        <v>44524</v>
      </c>
      <c r="K38" s="78">
        <v>44527</v>
      </c>
      <c r="L38" s="75">
        <v>4</v>
      </c>
      <c r="M38" s="75">
        <v>689</v>
      </c>
      <c r="N38" s="46">
        <v>275</v>
      </c>
      <c r="O38" s="70">
        <f>Tabla2[[#This Row],[Nº OF DAYS]]*120</f>
        <v>480</v>
      </c>
    </row>
    <row r="39" spans="1:15" x14ac:dyDescent="0.2">
      <c r="A39" s="45" t="s">
        <v>24</v>
      </c>
      <c r="B39" s="45" t="s">
        <v>61</v>
      </c>
      <c r="C39" s="45" t="s">
        <v>129</v>
      </c>
      <c r="D39" s="75" t="s">
        <v>93</v>
      </c>
      <c r="E39" s="45" t="s">
        <v>269</v>
      </c>
      <c r="F39" s="45" t="s">
        <v>755</v>
      </c>
      <c r="G39" s="75" t="s">
        <v>25</v>
      </c>
      <c r="H39" s="45" t="s">
        <v>108</v>
      </c>
      <c r="I39" s="45" t="s">
        <v>106</v>
      </c>
      <c r="J39" s="78">
        <v>44521</v>
      </c>
      <c r="K39" s="78">
        <v>44523</v>
      </c>
      <c r="L39" s="75">
        <v>3</v>
      </c>
      <c r="M39" s="75">
        <v>1296</v>
      </c>
      <c r="N39" s="46">
        <v>275</v>
      </c>
      <c r="O39" s="70">
        <f>Tabla2[[#This Row],[Nº OF DAYS]]*120</f>
        <v>360</v>
      </c>
    </row>
    <row r="40" spans="1:15" x14ac:dyDescent="0.2">
      <c r="A40" s="45" t="s">
        <v>24</v>
      </c>
      <c r="B40" s="45" t="s">
        <v>61</v>
      </c>
      <c r="C40" s="45" t="s">
        <v>129</v>
      </c>
      <c r="D40" s="75" t="s">
        <v>93</v>
      </c>
      <c r="E40" s="45" t="s">
        <v>275</v>
      </c>
      <c r="F40" s="45" t="s">
        <v>755</v>
      </c>
      <c r="G40" s="75" t="s">
        <v>25</v>
      </c>
      <c r="H40" s="45" t="s">
        <v>106</v>
      </c>
      <c r="I40" s="45" t="s">
        <v>101</v>
      </c>
      <c r="J40" s="78">
        <v>44524</v>
      </c>
      <c r="K40" s="78">
        <v>44527</v>
      </c>
      <c r="L40" s="75">
        <v>4</v>
      </c>
      <c r="M40" s="75">
        <v>689</v>
      </c>
      <c r="N40" s="46">
        <v>275</v>
      </c>
      <c r="O40" s="70">
        <f>Tabla2[[#This Row],[Nº OF DAYS]]*120</f>
        <v>480</v>
      </c>
    </row>
    <row r="41" spans="1:15" x14ac:dyDescent="0.2">
      <c r="A41" s="66"/>
      <c r="B41" s="66"/>
      <c r="C41" s="66"/>
      <c r="D41" s="69"/>
      <c r="E41" s="66"/>
      <c r="F41" s="66"/>
      <c r="G41" s="69"/>
      <c r="H41" s="66"/>
      <c r="I41" s="66"/>
      <c r="J41" s="80"/>
      <c r="K41" s="80"/>
      <c r="L41" s="69"/>
      <c r="M41" s="69"/>
      <c r="N41" s="67"/>
      <c r="O41" s="68">
        <f>Tabla2[[#This Row],[Nº OF DAYS]]*120</f>
        <v>0</v>
      </c>
    </row>
    <row r="42" spans="1:15" x14ac:dyDescent="0.2">
      <c r="A42" s="45"/>
      <c r="B42" s="45" t="s">
        <v>62</v>
      </c>
      <c r="C42" s="45" t="s">
        <v>110</v>
      </c>
      <c r="D42" s="75"/>
      <c r="E42" s="45"/>
      <c r="F42" s="45"/>
      <c r="G42" s="75" t="s">
        <v>25</v>
      </c>
      <c r="H42" s="45"/>
      <c r="I42" s="45"/>
      <c r="J42" s="75"/>
      <c r="K42" s="75"/>
      <c r="L42" s="75"/>
      <c r="M42" s="75"/>
      <c r="N42" s="46"/>
      <c r="O42" s="46">
        <f>Tabla2[[#This Row],[Nº OF DAYS]]*120</f>
        <v>0</v>
      </c>
    </row>
    <row r="43" spans="1:15" x14ac:dyDescent="0.2">
      <c r="A43" s="66"/>
      <c r="B43" s="66"/>
      <c r="C43" s="66"/>
      <c r="D43" s="69"/>
      <c r="E43" s="66"/>
      <c r="F43" s="66"/>
      <c r="G43" s="69"/>
      <c r="H43" s="66"/>
      <c r="I43" s="66"/>
      <c r="J43" s="80"/>
      <c r="K43" s="80"/>
      <c r="L43" s="69"/>
      <c r="M43" s="69"/>
      <c r="N43" s="67"/>
      <c r="O43" s="68">
        <f>Tabla2[[#This Row],[Nº OF DAYS]]*120</f>
        <v>0</v>
      </c>
    </row>
    <row r="44" spans="1:15" x14ac:dyDescent="0.2">
      <c r="A44" s="45" t="s">
        <v>24</v>
      </c>
      <c r="B44" s="45" t="s">
        <v>86</v>
      </c>
      <c r="C44" s="45" t="s">
        <v>111</v>
      </c>
      <c r="D44" s="75" t="s">
        <v>93</v>
      </c>
      <c r="E44" s="45" t="s">
        <v>716</v>
      </c>
      <c r="F44" s="45" t="s">
        <v>728</v>
      </c>
      <c r="G44" s="75" t="s">
        <v>25</v>
      </c>
      <c r="H44" s="45" t="s">
        <v>108</v>
      </c>
      <c r="I44" s="45" t="s">
        <v>106</v>
      </c>
      <c r="J44" s="78">
        <v>44521</v>
      </c>
      <c r="K44" s="78">
        <v>44523</v>
      </c>
      <c r="L44" s="213">
        <v>3</v>
      </c>
      <c r="M44" s="75">
        <v>1296</v>
      </c>
      <c r="N44" s="46">
        <v>275</v>
      </c>
      <c r="O44" s="70">
        <f>Tabla2[[#This Row],[Nº OF DAYS]]*120</f>
        <v>360</v>
      </c>
    </row>
    <row r="45" spans="1:15" x14ac:dyDescent="0.2">
      <c r="A45" s="45" t="s">
        <v>24</v>
      </c>
      <c r="B45" s="45" t="s">
        <v>86</v>
      </c>
      <c r="C45" s="45" t="s">
        <v>111</v>
      </c>
      <c r="D45" s="75" t="s">
        <v>93</v>
      </c>
      <c r="E45" s="45" t="s">
        <v>729</v>
      </c>
      <c r="F45" s="45" t="s">
        <v>728</v>
      </c>
      <c r="G45" s="75" t="s">
        <v>25</v>
      </c>
      <c r="H45" s="45" t="s">
        <v>106</v>
      </c>
      <c r="I45" s="45" t="s">
        <v>101</v>
      </c>
      <c r="J45" s="78">
        <v>44524</v>
      </c>
      <c r="K45" s="78">
        <v>44527</v>
      </c>
      <c r="L45" s="213">
        <v>4</v>
      </c>
      <c r="M45" s="75">
        <v>689</v>
      </c>
      <c r="N45" s="46">
        <v>275</v>
      </c>
      <c r="O45" s="70">
        <f>Tabla2[[#This Row],[Nº OF DAYS]]*120</f>
        <v>480</v>
      </c>
    </row>
    <row r="46" spans="1:15" x14ac:dyDescent="0.2">
      <c r="A46" s="45" t="s">
        <v>24</v>
      </c>
      <c r="B46" s="45" t="s">
        <v>86</v>
      </c>
      <c r="C46" s="45" t="s">
        <v>111</v>
      </c>
      <c r="D46" s="75" t="s">
        <v>93</v>
      </c>
      <c r="E46" s="45" t="s">
        <v>730</v>
      </c>
      <c r="F46" s="45" t="s">
        <v>727</v>
      </c>
      <c r="G46" s="75" t="s">
        <v>25</v>
      </c>
      <c r="H46" s="45" t="s">
        <v>108</v>
      </c>
      <c r="I46" s="45" t="s">
        <v>106</v>
      </c>
      <c r="J46" s="78">
        <v>44521</v>
      </c>
      <c r="K46" s="78">
        <v>44523</v>
      </c>
      <c r="L46" s="213">
        <v>3</v>
      </c>
      <c r="M46" s="75">
        <v>1296</v>
      </c>
      <c r="N46" s="46">
        <v>275</v>
      </c>
      <c r="O46" s="70">
        <f>Tabla2[[#This Row],[Nº OF DAYS]]*120</f>
        <v>360</v>
      </c>
    </row>
    <row r="47" spans="1:15" x14ac:dyDescent="0.2">
      <c r="A47" s="45" t="s">
        <v>24</v>
      </c>
      <c r="B47" s="45" t="s">
        <v>86</v>
      </c>
      <c r="C47" s="45" t="s">
        <v>111</v>
      </c>
      <c r="D47" s="75" t="s">
        <v>93</v>
      </c>
      <c r="E47" s="45" t="s">
        <v>731</v>
      </c>
      <c r="F47" s="45" t="s">
        <v>727</v>
      </c>
      <c r="G47" s="75" t="s">
        <v>25</v>
      </c>
      <c r="H47" s="45" t="s">
        <v>106</v>
      </c>
      <c r="I47" s="45" t="s">
        <v>101</v>
      </c>
      <c r="J47" s="78">
        <v>44524</v>
      </c>
      <c r="K47" s="78">
        <v>44527</v>
      </c>
      <c r="L47" s="75">
        <v>4</v>
      </c>
      <c r="M47" s="75">
        <v>689</v>
      </c>
      <c r="N47" s="46">
        <v>275</v>
      </c>
      <c r="O47" s="70">
        <f>Tabla2[[#This Row],[Nº OF DAYS]]*120</f>
        <v>480</v>
      </c>
    </row>
    <row r="48" spans="1:15" x14ac:dyDescent="0.2">
      <c r="A48" s="66"/>
      <c r="B48" s="66"/>
      <c r="C48" s="66"/>
      <c r="D48" s="69"/>
      <c r="E48" s="66"/>
      <c r="F48" s="66"/>
      <c r="G48" s="69"/>
      <c r="H48" s="66"/>
      <c r="I48" s="66"/>
      <c r="J48" s="80"/>
      <c r="K48" s="80"/>
      <c r="L48" s="69"/>
      <c r="M48" s="69"/>
      <c r="N48" s="67"/>
      <c r="O48" s="68">
        <f>Tabla2[[#This Row],[Nº OF DAYS]]*120</f>
        <v>0</v>
      </c>
    </row>
    <row r="49" spans="1:15" x14ac:dyDescent="0.2">
      <c r="A49" s="45" t="s">
        <v>24</v>
      </c>
      <c r="B49" s="45" t="s">
        <v>113</v>
      </c>
      <c r="C49" s="45" t="s">
        <v>112</v>
      </c>
      <c r="D49" s="75" t="s">
        <v>449</v>
      </c>
      <c r="E49" s="45" t="s">
        <v>717</v>
      </c>
      <c r="F49" s="45" t="s">
        <v>714</v>
      </c>
      <c r="G49" s="75" t="s">
        <v>25</v>
      </c>
      <c r="H49" s="45" t="s">
        <v>106</v>
      </c>
      <c r="I49" s="45" t="s">
        <v>101</v>
      </c>
      <c r="J49" s="78">
        <v>44524</v>
      </c>
      <c r="K49" s="78">
        <v>44527</v>
      </c>
      <c r="L49" s="213">
        <v>4</v>
      </c>
      <c r="M49" s="75">
        <v>689</v>
      </c>
      <c r="N49" s="46">
        <v>275</v>
      </c>
      <c r="O49" s="70">
        <f>Tabla2[[#This Row],[Nº OF DAYS]]*120</f>
        <v>480</v>
      </c>
    </row>
    <row r="50" spans="1:15" x14ac:dyDescent="0.2">
      <c r="A50" s="45" t="s">
        <v>24</v>
      </c>
      <c r="B50" s="45" t="s">
        <v>113</v>
      </c>
      <c r="C50" s="45" t="s">
        <v>112</v>
      </c>
      <c r="D50" s="75" t="s">
        <v>449</v>
      </c>
      <c r="E50" s="45" t="s">
        <v>718</v>
      </c>
      <c r="F50" s="45" t="s">
        <v>714</v>
      </c>
      <c r="G50" s="75" t="s">
        <v>25</v>
      </c>
      <c r="H50" s="45" t="s">
        <v>101</v>
      </c>
      <c r="I50" s="45" t="s">
        <v>108</v>
      </c>
      <c r="J50" s="78">
        <v>44528</v>
      </c>
      <c r="K50" s="78">
        <v>44532</v>
      </c>
      <c r="L50" s="213">
        <v>4</v>
      </c>
      <c r="M50" s="75">
        <v>1672</v>
      </c>
      <c r="N50" s="46">
        <v>275</v>
      </c>
      <c r="O50" s="70">
        <f>Tabla2[[#This Row],[Nº OF DAYS]]*120</f>
        <v>480</v>
      </c>
    </row>
    <row r="51" spans="1:15" x14ac:dyDescent="0.2">
      <c r="A51" s="45" t="s">
        <v>24</v>
      </c>
      <c r="B51" s="45" t="s">
        <v>113</v>
      </c>
      <c r="C51" s="45" t="s">
        <v>112</v>
      </c>
      <c r="D51" s="75" t="s">
        <v>449</v>
      </c>
      <c r="E51" s="45" t="s">
        <v>719</v>
      </c>
      <c r="F51" s="45" t="s">
        <v>715</v>
      </c>
      <c r="G51" s="75" t="s">
        <v>25</v>
      </c>
      <c r="H51" s="45" t="s">
        <v>106</v>
      </c>
      <c r="I51" s="45" t="s">
        <v>101</v>
      </c>
      <c r="J51" s="78">
        <v>44524</v>
      </c>
      <c r="K51" s="78">
        <v>44527</v>
      </c>
      <c r="L51" s="213">
        <v>4</v>
      </c>
      <c r="M51" s="75">
        <v>689</v>
      </c>
      <c r="N51" s="46">
        <v>275</v>
      </c>
      <c r="O51" s="70">
        <f>Tabla2[[#This Row],[Nº OF DAYS]]*120</f>
        <v>480</v>
      </c>
    </row>
    <row r="52" spans="1:15" x14ac:dyDescent="0.2">
      <c r="A52" s="45" t="s">
        <v>24</v>
      </c>
      <c r="B52" s="45" t="s">
        <v>113</v>
      </c>
      <c r="C52" s="45" t="s">
        <v>112</v>
      </c>
      <c r="D52" s="75" t="s">
        <v>449</v>
      </c>
      <c r="E52" s="45" t="s">
        <v>720</v>
      </c>
      <c r="F52" s="45" t="s">
        <v>715</v>
      </c>
      <c r="G52" s="75" t="s">
        <v>25</v>
      </c>
      <c r="H52" s="45" t="s">
        <v>101</v>
      </c>
      <c r="I52" s="45" t="s">
        <v>108</v>
      </c>
      <c r="J52" s="78">
        <v>44528</v>
      </c>
      <c r="K52" s="78">
        <v>44532</v>
      </c>
      <c r="L52" s="213">
        <v>4</v>
      </c>
      <c r="M52" s="75">
        <v>1672</v>
      </c>
      <c r="N52" s="46">
        <v>275</v>
      </c>
      <c r="O52" s="70">
        <f>Tabla2[[#This Row],[Nº OF DAYS]]*120</f>
        <v>480</v>
      </c>
    </row>
    <row r="53" spans="1:15" x14ac:dyDescent="0.2">
      <c r="A53" s="81" t="s">
        <v>29</v>
      </c>
      <c r="B53" s="81"/>
      <c r="C53" s="81"/>
      <c r="D53" s="82"/>
      <c r="E53" s="81"/>
      <c r="F53" s="81"/>
      <c r="G53" s="82"/>
      <c r="H53" s="81"/>
      <c r="I53" s="81"/>
      <c r="J53" s="82"/>
      <c r="K53" s="82"/>
      <c r="L53" s="82"/>
      <c r="M53" s="82"/>
      <c r="N53" s="83">
        <f>SUBTOTAL(109,Tabla2[MAX. TRAVEL COSTS])</f>
        <v>10520</v>
      </c>
      <c r="O53" s="83">
        <f>SUBTOTAL(109,Tabla2[MAX. COSTS OF STAY])</f>
        <v>14280</v>
      </c>
    </row>
  </sheetData>
  <phoneticPr fontId="17" type="noConversion"/>
  <pageMargins left="0.7" right="0.7" top="0.75" bottom="0.75" header="0.3" footer="0.3"/>
  <pageSetup paperSize="9"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700-000000000000}">
          <x14:formula1>
            <xm:f>Data!$J$3:$J$16</xm:f>
          </x14:formula1>
          <xm:sqref>I52 I27 I29 I50 H2:H28 H30:H35 H37:H51</xm:sqref>
        </x14:dataValidation>
        <x14:dataValidation type="list" allowBlank="1" showInputMessage="1" showErrorMessage="1" xr:uid="{00000000-0002-0000-0700-000006000000}">
          <x14:formula1>
            <xm:f>Data!$J$3:$J$17</xm:f>
          </x14:formula1>
          <xm:sqref>H52 H27 H29 H50 I2:I28 I30:I51</xm:sqref>
        </x14:dataValidation>
        <x14:dataValidation type="list" allowBlank="1" showInputMessage="1" showErrorMessage="1" xr:uid="{00000000-0002-0000-0700-000001000000}">
          <x14:formula1>
            <xm:f>Data!$C$4:$C$10</xm:f>
          </x14:formula1>
          <xm:sqref>N2:N52</xm:sqref>
        </x14:dataValidation>
        <x14:dataValidation type="list" allowBlank="1" showInputMessage="1" showErrorMessage="1" xr:uid="{00000000-0002-0000-0700-000002000000}">
          <x14:formula1>
            <xm:f>Data!$E$3:$E$7</xm:f>
          </x14:formula1>
          <xm:sqref>A2:A52</xm:sqref>
        </x14:dataValidation>
        <x14:dataValidation type="list" allowBlank="1" showInputMessage="1" showErrorMessage="1" xr:uid="{00000000-0002-0000-0700-000003000000}">
          <x14:formula1>
            <xm:f>Data!$G$3:$G$16</xm:f>
          </x14:formula1>
          <xm:sqref>B2:B52</xm:sqref>
        </x14:dataValidation>
        <x14:dataValidation type="list" allowBlank="1" showInputMessage="1" showErrorMessage="1" xr:uid="{00000000-0002-0000-0700-000004000000}">
          <x14:formula1>
            <xm:f>Data!$I$3:$I$16</xm:f>
          </x14:formula1>
          <xm:sqref>D2:D52</xm:sqref>
        </x14:dataValidation>
        <x14:dataValidation type="list" allowBlank="1" showInputMessage="1" showErrorMessage="1" xr:uid="{00000000-0002-0000-0700-000005000000}">
          <x14:formula1>
            <xm:f>Data!$H$3:$H$16</xm:f>
          </x14:formula1>
          <xm:sqref>C2:C52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32"/>
  <sheetViews>
    <sheetView workbookViewId="0">
      <selection activeCell="N43" sqref="N43"/>
    </sheetView>
  </sheetViews>
  <sheetFormatPr baseColWidth="10" defaultColWidth="11.42578125" defaultRowHeight="12" x14ac:dyDescent="0.2"/>
  <cols>
    <col min="1" max="1" width="11.140625" style="37" customWidth="1"/>
    <col min="2" max="2" width="10.140625" style="77" customWidth="1"/>
    <col min="3" max="3" width="11.140625" style="37" customWidth="1"/>
    <col min="4" max="4" width="11.42578125" style="77" customWidth="1"/>
    <col min="5" max="6" width="12.42578125" style="77" customWidth="1"/>
    <col min="7" max="7" width="47.140625" style="37" customWidth="1"/>
    <col min="8" max="8" width="14.140625" style="37" customWidth="1"/>
    <col min="9" max="9" width="11.7109375" style="77" bestFit="1" customWidth="1"/>
    <col min="10" max="11" width="11.7109375" style="77" customWidth="1"/>
    <col min="12" max="12" width="10.42578125" style="77" customWidth="1"/>
    <col min="13" max="13" width="9.7109375" style="77" customWidth="1"/>
    <col min="14" max="14" width="13.42578125" style="37" customWidth="1"/>
    <col min="15" max="16384" width="11.42578125" style="37"/>
  </cols>
  <sheetData>
    <row r="1" spans="1:14" s="39" customFormat="1" ht="48" x14ac:dyDescent="0.25">
      <c r="A1" s="36" t="s">
        <v>15</v>
      </c>
      <c r="B1" s="36" t="s">
        <v>16</v>
      </c>
      <c r="C1" s="36" t="s">
        <v>17</v>
      </c>
      <c r="D1" s="36" t="s">
        <v>18</v>
      </c>
      <c r="E1" s="36" t="s">
        <v>22</v>
      </c>
      <c r="F1" s="36" t="s">
        <v>456</v>
      </c>
      <c r="G1" s="36" t="s">
        <v>38</v>
      </c>
      <c r="H1" s="36" t="s">
        <v>39</v>
      </c>
      <c r="I1" s="36" t="s">
        <v>457</v>
      </c>
      <c r="J1" s="36" t="s">
        <v>458</v>
      </c>
      <c r="K1" s="36" t="s">
        <v>459</v>
      </c>
      <c r="L1" s="36" t="s">
        <v>42</v>
      </c>
      <c r="M1" s="36" t="s">
        <v>43</v>
      </c>
      <c r="N1" s="36" t="s">
        <v>44</v>
      </c>
    </row>
    <row r="2" spans="1:14" x14ac:dyDescent="0.2">
      <c r="A2" s="37" t="s">
        <v>24</v>
      </c>
      <c r="B2" s="77" t="s">
        <v>57</v>
      </c>
      <c r="C2" s="37" t="s">
        <v>124</v>
      </c>
      <c r="D2" s="77" t="s">
        <v>92</v>
      </c>
      <c r="E2" s="77" t="s">
        <v>466</v>
      </c>
      <c r="F2" s="186">
        <v>44145</v>
      </c>
      <c r="G2" s="37" t="s">
        <v>441</v>
      </c>
      <c r="H2" s="37" t="s">
        <v>253</v>
      </c>
      <c r="I2" s="184">
        <v>3890.5</v>
      </c>
      <c r="J2" s="184"/>
      <c r="K2" s="184">
        <f t="shared" ref="K2:K13" si="0">I2+J2</f>
        <v>3890.5</v>
      </c>
      <c r="L2" s="77" t="s">
        <v>255</v>
      </c>
      <c r="N2" s="153">
        <v>3890.5</v>
      </c>
    </row>
    <row r="3" spans="1:14" x14ac:dyDescent="0.2">
      <c r="A3" s="37" t="s">
        <v>24</v>
      </c>
      <c r="B3" s="77" t="s">
        <v>57</v>
      </c>
      <c r="C3" s="37" t="s">
        <v>124</v>
      </c>
      <c r="D3" s="77" t="s">
        <v>92</v>
      </c>
      <c r="E3" s="77" t="s">
        <v>466</v>
      </c>
      <c r="F3" s="186">
        <v>44145</v>
      </c>
      <c r="G3" s="37" t="s">
        <v>442</v>
      </c>
      <c r="H3" s="37" t="s">
        <v>253</v>
      </c>
      <c r="I3" s="184">
        <v>168</v>
      </c>
      <c r="J3" s="184"/>
      <c r="K3" s="184">
        <f t="shared" si="0"/>
        <v>168</v>
      </c>
      <c r="L3" s="77" t="s">
        <v>255</v>
      </c>
      <c r="N3" s="153">
        <v>168</v>
      </c>
    </row>
    <row r="4" spans="1:14" x14ac:dyDescent="0.2">
      <c r="A4" s="37" t="s">
        <v>24</v>
      </c>
      <c r="B4" s="77" t="s">
        <v>57</v>
      </c>
      <c r="C4" s="37" t="s">
        <v>124</v>
      </c>
      <c r="D4" s="77" t="s">
        <v>92</v>
      </c>
      <c r="E4" s="77" t="s">
        <v>466</v>
      </c>
      <c r="F4" s="186">
        <v>44145</v>
      </c>
      <c r="G4" s="37" t="s">
        <v>443</v>
      </c>
      <c r="H4" s="37" t="s">
        <v>253</v>
      </c>
      <c r="I4" s="184">
        <v>788</v>
      </c>
      <c r="J4" s="184"/>
      <c r="K4" s="184">
        <f t="shared" si="0"/>
        <v>788</v>
      </c>
      <c r="L4" s="77" t="s">
        <v>255</v>
      </c>
      <c r="N4" s="153">
        <v>788</v>
      </c>
    </row>
    <row r="5" spans="1:14" x14ac:dyDescent="0.2">
      <c r="A5" s="37" t="s">
        <v>24</v>
      </c>
      <c r="B5" s="77" t="s">
        <v>57</v>
      </c>
      <c r="C5" s="37" t="s">
        <v>124</v>
      </c>
      <c r="D5" s="77" t="s">
        <v>92</v>
      </c>
      <c r="E5" s="77" t="s">
        <v>466</v>
      </c>
      <c r="F5" s="186">
        <v>44145</v>
      </c>
      <c r="G5" s="37" t="s">
        <v>444</v>
      </c>
      <c r="H5" s="37" t="s">
        <v>253</v>
      </c>
      <c r="I5" s="184">
        <v>48</v>
      </c>
      <c r="J5" s="184"/>
      <c r="K5" s="184">
        <f t="shared" si="0"/>
        <v>48</v>
      </c>
      <c r="L5" s="77" t="s">
        <v>255</v>
      </c>
      <c r="N5" s="153">
        <v>48</v>
      </c>
    </row>
    <row r="6" spans="1:14" x14ac:dyDescent="0.2">
      <c r="A6" s="37" t="s">
        <v>24</v>
      </c>
      <c r="B6" s="77" t="s">
        <v>58</v>
      </c>
      <c r="C6" s="37" t="s">
        <v>122</v>
      </c>
      <c r="D6" s="77" t="s">
        <v>92</v>
      </c>
      <c r="E6" s="77" t="s">
        <v>467</v>
      </c>
      <c r="F6" s="186">
        <v>44145</v>
      </c>
      <c r="G6" s="37" t="s">
        <v>441</v>
      </c>
      <c r="H6" s="37" t="s">
        <v>253</v>
      </c>
      <c r="I6" s="184">
        <v>3890.5</v>
      </c>
      <c r="J6" s="184"/>
      <c r="K6" s="184">
        <f t="shared" si="0"/>
        <v>3890.5</v>
      </c>
      <c r="L6" s="77" t="s">
        <v>255</v>
      </c>
      <c r="N6" s="153">
        <v>3890.5</v>
      </c>
    </row>
    <row r="7" spans="1:14" x14ac:dyDescent="0.2">
      <c r="A7" s="37" t="s">
        <v>24</v>
      </c>
      <c r="B7" s="77" t="s">
        <v>58</v>
      </c>
      <c r="C7" s="37" t="s">
        <v>122</v>
      </c>
      <c r="D7" s="77" t="s">
        <v>92</v>
      </c>
      <c r="E7" s="77" t="s">
        <v>467</v>
      </c>
      <c r="F7" s="186">
        <v>44145</v>
      </c>
      <c r="G7" s="37" t="s">
        <v>442</v>
      </c>
      <c r="H7" s="37" t="s">
        <v>253</v>
      </c>
      <c r="I7" s="184">
        <v>168</v>
      </c>
      <c r="J7" s="184"/>
      <c r="K7" s="184">
        <f t="shared" si="0"/>
        <v>168</v>
      </c>
      <c r="L7" s="77" t="s">
        <v>255</v>
      </c>
      <c r="N7" s="153">
        <v>168</v>
      </c>
    </row>
    <row r="8" spans="1:14" x14ac:dyDescent="0.2">
      <c r="A8" s="37" t="s">
        <v>24</v>
      </c>
      <c r="B8" s="77" t="s">
        <v>58</v>
      </c>
      <c r="C8" s="37" t="s">
        <v>122</v>
      </c>
      <c r="D8" s="77" t="s">
        <v>92</v>
      </c>
      <c r="E8" s="77" t="s">
        <v>467</v>
      </c>
      <c r="F8" s="186">
        <v>44145</v>
      </c>
      <c r="G8" s="37" t="s">
        <v>443</v>
      </c>
      <c r="H8" s="37" t="s">
        <v>253</v>
      </c>
      <c r="I8" s="184">
        <v>788</v>
      </c>
      <c r="J8" s="184"/>
      <c r="K8" s="184">
        <f t="shared" si="0"/>
        <v>788</v>
      </c>
      <c r="L8" s="77" t="s">
        <v>255</v>
      </c>
      <c r="N8" s="153">
        <v>788</v>
      </c>
    </row>
    <row r="9" spans="1:14" x14ac:dyDescent="0.2">
      <c r="A9" s="37" t="s">
        <v>24</v>
      </c>
      <c r="B9" s="77" t="s">
        <v>58</v>
      </c>
      <c r="C9" s="37" t="s">
        <v>122</v>
      </c>
      <c r="D9" s="77" t="s">
        <v>92</v>
      </c>
      <c r="E9" s="77" t="s">
        <v>467</v>
      </c>
      <c r="F9" s="186">
        <v>44145</v>
      </c>
      <c r="G9" s="37" t="s">
        <v>444</v>
      </c>
      <c r="H9" s="37" t="s">
        <v>253</v>
      </c>
      <c r="I9" s="184">
        <v>48</v>
      </c>
      <c r="J9" s="184"/>
      <c r="K9" s="184">
        <f t="shared" si="0"/>
        <v>48</v>
      </c>
      <c r="L9" s="77" t="s">
        <v>255</v>
      </c>
      <c r="N9" s="153">
        <v>48</v>
      </c>
    </row>
    <row r="10" spans="1:14" x14ac:dyDescent="0.2">
      <c r="A10" s="37" t="s">
        <v>24</v>
      </c>
      <c r="B10" s="77" t="s">
        <v>61</v>
      </c>
      <c r="C10" s="37" t="s">
        <v>123</v>
      </c>
      <c r="D10" s="77" t="s">
        <v>93</v>
      </c>
      <c r="E10" s="77" t="s">
        <v>472</v>
      </c>
      <c r="F10" s="186">
        <v>44272</v>
      </c>
      <c r="G10" s="37" t="s">
        <v>463</v>
      </c>
      <c r="H10" s="37" t="s">
        <v>462</v>
      </c>
      <c r="I10" s="184">
        <v>47882</v>
      </c>
      <c r="J10" s="184"/>
      <c r="K10" s="184">
        <f>I10+J10</f>
        <v>47882</v>
      </c>
      <c r="L10" s="77" t="s">
        <v>461</v>
      </c>
      <c r="M10" s="221">
        <v>8.0312800000000004E-2</v>
      </c>
      <c r="N10" s="187">
        <f>Tabla4[[#This Row],[TOTAL AMOUNT]]*Tabla4[[#This Row],[EXCHANGE RATE]]</f>
        <v>3845.5374896000003</v>
      </c>
    </row>
    <row r="11" spans="1:14" x14ac:dyDescent="0.2">
      <c r="A11" s="37" t="s">
        <v>24</v>
      </c>
      <c r="B11" s="77" t="s">
        <v>61</v>
      </c>
      <c r="C11" s="37" t="s">
        <v>123</v>
      </c>
      <c r="D11" s="77" t="s">
        <v>93</v>
      </c>
      <c r="E11" s="77" t="s">
        <v>472</v>
      </c>
      <c r="F11" s="186">
        <v>44272</v>
      </c>
      <c r="G11" s="37" t="s">
        <v>464</v>
      </c>
      <c r="H11" s="37" t="s">
        <v>462</v>
      </c>
      <c r="I11" s="184">
        <v>7419</v>
      </c>
      <c r="J11" s="184"/>
      <c r="K11" s="184">
        <f>I11+J11</f>
        <v>7419</v>
      </c>
      <c r="L11" s="77" t="s">
        <v>461</v>
      </c>
      <c r="M11" s="221">
        <v>8.0312800000000004E-2</v>
      </c>
      <c r="N11" s="187">
        <f>Tabla4[[#This Row],[TOTAL AMOUNT]]*Tabla4[[#This Row],[EXCHANGE RATE]]</f>
        <v>595.84066319999999</v>
      </c>
    </row>
    <row r="12" spans="1:14" x14ac:dyDescent="0.2">
      <c r="A12" s="37" t="s">
        <v>24</v>
      </c>
      <c r="B12" s="77" t="s">
        <v>61</v>
      </c>
      <c r="C12" s="37" t="s">
        <v>123</v>
      </c>
      <c r="D12" s="77" t="s">
        <v>93</v>
      </c>
      <c r="E12" s="77" t="s">
        <v>472</v>
      </c>
      <c r="F12" s="186">
        <v>44272</v>
      </c>
      <c r="G12" s="37" t="s">
        <v>465</v>
      </c>
      <c r="H12" s="37" t="s">
        <v>462</v>
      </c>
      <c r="I12" s="184">
        <v>12139</v>
      </c>
      <c r="J12" s="184"/>
      <c r="K12" s="184">
        <f>I12+J12</f>
        <v>12139</v>
      </c>
      <c r="L12" s="77" t="s">
        <v>461</v>
      </c>
      <c r="M12" s="221">
        <v>8.0312800000000004E-2</v>
      </c>
      <c r="N12" s="187">
        <f>Tabla4[[#This Row],[TOTAL AMOUNT]]*Tabla4[[#This Row],[EXCHANGE RATE]]</f>
        <v>974.91707919999999</v>
      </c>
    </row>
    <row r="13" spans="1:14" x14ac:dyDescent="0.2">
      <c r="A13" s="37" t="s">
        <v>24</v>
      </c>
      <c r="B13" s="77" t="s">
        <v>59</v>
      </c>
      <c r="C13" s="37" t="s">
        <v>790</v>
      </c>
      <c r="D13" s="77" t="s">
        <v>449</v>
      </c>
      <c r="E13" s="77" t="s">
        <v>506</v>
      </c>
      <c r="F13" s="186">
        <v>44356</v>
      </c>
      <c r="G13" s="37" t="s">
        <v>502</v>
      </c>
      <c r="H13" s="37" t="s">
        <v>504</v>
      </c>
      <c r="I13" s="184">
        <v>1898000</v>
      </c>
      <c r="J13" s="184"/>
      <c r="K13" s="184">
        <f t="shared" si="0"/>
        <v>1898000</v>
      </c>
      <c r="L13" s="77" t="s">
        <v>447</v>
      </c>
      <c r="M13" s="221">
        <v>2.0712E-3</v>
      </c>
      <c r="N13" s="187">
        <f>Tabla4[[#This Row],[TOTAL AMOUNT]]*Tabla4[[#This Row],[EXCHANGE RATE]]</f>
        <v>3931.1376</v>
      </c>
    </row>
    <row r="14" spans="1:14" x14ac:dyDescent="0.2">
      <c r="A14" s="37" t="s">
        <v>24</v>
      </c>
      <c r="B14" s="77" t="s">
        <v>59</v>
      </c>
      <c r="C14" s="37" t="s">
        <v>790</v>
      </c>
      <c r="D14" s="77" t="s">
        <v>449</v>
      </c>
      <c r="E14" s="77" t="s">
        <v>506</v>
      </c>
      <c r="F14" s="186">
        <v>44356</v>
      </c>
      <c r="G14" s="197" t="s">
        <v>503</v>
      </c>
      <c r="H14" s="37" t="s">
        <v>504</v>
      </c>
      <c r="I14" s="184">
        <v>229900</v>
      </c>
      <c r="J14" s="184"/>
      <c r="K14" s="184">
        <f t="shared" ref="K14:K25" si="1">I14+J14</f>
        <v>229900</v>
      </c>
      <c r="L14" s="77" t="s">
        <v>447</v>
      </c>
      <c r="M14" s="221">
        <v>2.0712E-3</v>
      </c>
      <c r="N14" s="187">
        <f>Tabla4[[#This Row],[TOTAL AMOUNT]]*Tabla4[[#This Row],[EXCHANGE RATE]]</f>
        <v>476.16888</v>
      </c>
    </row>
    <row r="15" spans="1:14" x14ac:dyDescent="0.2">
      <c r="A15" s="37" t="s">
        <v>24</v>
      </c>
      <c r="B15" s="77" t="s">
        <v>59</v>
      </c>
      <c r="C15" s="37" t="s">
        <v>790</v>
      </c>
      <c r="D15" s="77" t="s">
        <v>449</v>
      </c>
      <c r="E15" s="77" t="s">
        <v>506</v>
      </c>
      <c r="F15" s="186">
        <v>44356</v>
      </c>
      <c r="G15" s="37" t="s">
        <v>505</v>
      </c>
      <c r="H15" s="37" t="s">
        <v>504</v>
      </c>
      <c r="I15" s="184">
        <v>244900</v>
      </c>
      <c r="J15" s="184"/>
      <c r="K15" s="184">
        <f t="shared" si="1"/>
        <v>244900</v>
      </c>
      <c r="L15" s="77" t="s">
        <v>447</v>
      </c>
      <c r="M15" s="221">
        <v>2.0712E-3</v>
      </c>
      <c r="N15" s="187">
        <f>Tabla4[[#This Row],[TOTAL AMOUNT]]*Tabla4[[#This Row],[EXCHANGE RATE]]</f>
        <v>507.23687999999999</v>
      </c>
    </row>
    <row r="16" spans="1:14" x14ac:dyDescent="0.2">
      <c r="A16" s="37" t="s">
        <v>24</v>
      </c>
      <c r="B16" s="77" t="s">
        <v>60</v>
      </c>
      <c r="C16" s="37" t="s">
        <v>125</v>
      </c>
      <c r="D16" s="77" t="s">
        <v>93</v>
      </c>
      <c r="E16" s="77" t="s">
        <v>511</v>
      </c>
      <c r="F16" s="186">
        <v>44286</v>
      </c>
      <c r="G16" s="37" t="s">
        <v>509</v>
      </c>
      <c r="H16" s="37" t="s">
        <v>510</v>
      </c>
      <c r="I16" s="184">
        <v>52435</v>
      </c>
      <c r="J16" s="184"/>
      <c r="K16" s="184">
        <f t="shared" si="1"/>
        <v>52435</v>
      </c>
      <c r="L16" s="77" t="s">
        <v>461</v>
      </c>
      <c r="M16" s="221">
        <v>8.0312800000000004E-2</v>
      </c>
      <c r="N16" s="187">
        <f>Tabla4[[#This Row],[TOTAL AMOUNT]]*Tabla4[[#This Row],[EXCHANGE RATE]]</f>
        <v>4211.2016680000006</v>
      </c>
    </row>
    <row r="17" spans="1:14" x14ac:dyDescent="0.2">
      <c r="A17" s="37" t="s">
        <v>24</v>
      </c>
      <c r="B17" s="77" t="s">
        <v>60</v>
      </c>
      <c r="C17" s="37" t="s">
        <v>125</v>
      </c>
      <c r="D17" s="77" t="s">
        <v>93</v>
      </c>
      <c r="E17" s="77" t="s">
        <v>511</v>
      </c>
      <c r="F17" s="186">
        <v>44286</v>
      </c>
      <c r="G17" s="37" t="s">
        <v>508</v>
      </c>
      <c r="H17" s="37" t="s">
        <v>510</v>
      </c>
      <c r="I17" s="184">
        <v>6106</v>
      </c>
      <c r="J17" s="184"/>
      <c r="K17" s="184">
        <f t="shared" si="1"/>
        <v>6106</v>
      </c>
      <c r="L17" s="77" t="s">
        <v>461</v>
      </c>
      <c r="M17" s="221">
        <v>8.0312800000000004E-2</v>
      </c>
      <c r="N17" s="187">
        <f>Tabla4[[#This Row],[TOTAL AMOUNT]]*Tabla4[[#This Row],[EXCHANGE RATE]]</f>
        <v>490.38995680000005</v>
      </c>
    </row>
    <row r="18" spans="1:14" x14ac:dyDescent="0.2">
      <c r="A18" s="37" t="s">
        <v>24</v>
      </c>
      <c r="B18" s="77" t="s">
        <v>60</v>
      </c>
      <c r="C18" s="37" t="s">
        <v>125</v>
      </c>
      <c r="D18" s="77" t="s">
        <v>93</v>
      </c>
      <c r="E18" s="77" t="s">
        <v>511</v>
      </c>
      <c r="F18" s="186">
        <v>44286</v>
      </c>
      <c r="G18" s="37" t="s">
        <v>507</v>
      </c>
      <c r="H18" s="37" t="s">
        <v>510</v>
      </c>
      <c r="I18" s="184">
        <v>7822</v>
      </c>
      <c r="J18" s="184"/>
      <c r="K18" s="184">
        <f t="shared" si="1"/>
        <v>7822</v>
      </c>
      <c r="L18" s="77" t="s">
        <v>461</v>
      </c>
      <c r="M18" s="221">
        <v>8.0312800000000004E-2</v>
      </c>
      <c r="N18" s="187">
        <f>Tabla4[[#This Row],[TOTAL AMOUNT]]*Tabla4[[#This Row],[EXCHANGE RATE]]</f>
        <v>628.20672160000004</v>
      </c>
    </row>
    <row r="19" spans="1:14" x14ac:dyDescent="0.2">
      <c r="A19" s="37" t="s">
        <v>24</v>
      </c>
      <c r="B19" s="77" t="s">
        <v>55</v>
      </c>
      <c r="C19" s="37" t="s">
        <v>448</v>
      </c>
      <c r="D19" s="77" t="s">
        <v>449</v>
      </c>
      <c r="E19" s="77" t="s">
        <v>468</v>
      </c>
      <c r="F19" s="186">
        <v>44075</v>
      </c>
      <c r="G19" s="37" t="s">
        <v>446</v>
      </c>
      <c r="H19" s="37" t="s">
        <v>445</v>
      </c>
      <c r="I19" s="184">
        <v>355035.71</v>
      </c>
      <c r="J19" s="184"/>
      <c r="K19" s="184">
        <f t="shared" ref="K19:K24" si="2">I19+J19</f>
        <v>355035.71</v>
      </c>
      <c r="L19" s="77" t="s">
        <v>447</v>
      </c>
      <c r="M19" s="221">
        <v>2.0712E-3</v>
      </c>
      <c r="N19" s="187">
        <f>Tabla4[[#This Row],[TOTAL AMOUNT]]*Tabla4[[#This Row],[EXCHANGE RATE]]</f>
        <v>735.34996255200008</v>
      </c>
    </row>
    <row r="20" spans="1:14" x14ac:dyDescent="0.2">
      <c r="A20" s="37" t="s">
        <v>24</v>
      </c>
      <c r="B20" s="77" t="s">
        <v>55</v>
      </c>
      <c r="C20" s="37" t="s">
        <v>448</v>
      </c>
      <c r="D20" s="77" t="s">
        <v>449</v>
      </c>
      <c r="E20" s="77" t="s">
        <v>469</v>
      </c>
      <c r="F20" s="186">
        <v>44190</v>
      </c>
      <c r="G20" s="37" t="s">
        <v>450</v>
      </c>
      <c r="H20" s="37" t="s">
        <v>451</v>
      </c>
      <c r="I20" s="184">
        <v>252000</v>
      </c>
      <c r="J20" s="184"/>
      <c r="K20" s="184">
        <f t="shared" si="2"/>
        <v>252000</v>
      </c>
      <c r="L20" s="77" t="s">
        <v>447</v>
      </c>
      <c r="M20" s="221">
        <v>2.0712E-3</v>
      </c>
      <c r="N20" s="187">
        <f>Tabla4[[#This Row],[TOTAL AMOUNT]]*Tabla4[[#This Row],[EXCHANGE RATE]]</f>
        <v>521.94240000000002</v>
      </c>
    </row>
    <row r="21" spans="1:14" x14ac:dyDescent="0.2">
      <c r="A21" s="37" t="s">
        <v>24</v>
      </c>
      <c r="B21" s="77" t="s">
        <v>55</v>
      </c>
      <c r="C21" s="37" t="s">
        <v>448</v>
      </c>
      <c r="D21" s="77" t="s">
        <v>449</v>
      </c>
      <c r="E21" s="77" t="s">
        <v>470</v>
      </c>
      <c r="F21" s="186">
        <v>44155</v>
      </c>
      <c r="G21" s="37" t="s">
        <v>452</v>
      </c>
      <c r="H21" s="37" t="s">
        <v>453</v>
      </c>
      <c r="I21" s="184">
        <v>804000</v>
      </c>
      <c r="J21" s="184"/>
      <c r="K21" s="184">
        <f t="shared" si="2"/>
        <v>804000</v>
      </c>
      <c r="L21" s="77" t="s">
        <v>447</v>
      </c>
      <c r="M21" s="221">
        <v>2.0712E-3</v>
      </c>
      <c r="N21" s="187">
        <f>Tabla4[[#This Row],[TOTAL AMOUNT]]*Tabla4[[#This Row],[EXCHANGE RATE]]</f>
        <v>1665.2447999999999</v>
      </c>
    </row>
    <row r="22" spans="1:14" x14ac:dyDescent="0.2">
      <c r="A22" s="37" t="s">
        <v>24</v>
      </c>
      <c r="B22" s="77" t="s">
        <v>55</v>
      </c>
      <c r="C22" s="37" t="s">
        <v>448</v>
      </c>
      <c r="D22" s="77" t="s">
        <v>449</v>
      </c>
      <c r="E22" s="77" t="s">
        <v>471</v>
      </c>
      <c r="F22" s="186">
        <v>44147</v>
      </c>
      <c r="G22" s="37" t="s">
        <v>454</v>
      </c>
      <c r="H22" s="37" t="s">
        <v>455</v>
      </c>
      <c r="I22" s="184">
        <v>380000</v>
      </c>
      <c r="J22" s="184"/>
      <c r="K22" s="184">
        <f t="shared" si="2"/>
        <v>380000</v>
      </c>
      <c r="L22" s="77" t="s">
        <v>447</v>
      </c>
      <c r="M22" s="221">
        <v>2.0712E-3</v>
      </c>
      <c r="N22" s="187">
        <f>Tabla4[[#This Row],[TOTAL AMOUNT]]*Tabla4[[#This Row],[EXCHANGE RATE]]</f>
        <v>787.05600000000004</v>
      </c>
    </row>
    <row r="23" spans="1:14" x14ac:dyDescent="0.2">
      <c r="A23" s="37" t="s">
        <v>24</v>
      </c>
      <c r="B23" s="77" t="s">
        <v>55</v>
      </c>
      <c r="C23" s="37" t="s">
        <v>448</v>
      </c>
      <c r="D23" s="77" t="s">
        <v>449</v>
      </c>
      <c r="E23" s="77" t="s">
        <v>610</v>
      </c>
      <c r="F23" s="186">
        <v>44316</v>
      </c>
      <c r="G23" s="37" t="s">
        <v>611</v>
      </c>
      <c r="H23" s="37" t="s">
        <v>614</v>
      </c>
      <c r="I23" s="184">
        <v>327083.33</v>
      </c>
      <c r="J23" s="184"/>
      <c r="K23" s="184">
        <f t="shared" si="2"/>
        <v>327083.33</v>
      </c>
      <c r="L23" s="77" t="s">
        <v>447</v>
      </c>
      <c r="M23" s="221">
        <v>2.0712E-3</v>
      </c>
      <c r="N23" s="187">
        <f>Tabla4[[#This Row],[TOTAL AMOUNT]]*Tabla4[[#This Row],[EXCHANGE RATE]]</f>
        <v>677.45499309600007</v>
      </c>
    </row>
    <row r="24" spans="1:14" x14ac:dyDescent="0.2">
      <c r="A24" s="37" t="s">
        <v>24</v>
      </c>
      <c r="B24" s="77" t="s">
        <v>55</v>
      </c>
      <c r="C24" s="37" t="s">
        <v>448</v>
      </c>
      <c r="D24" s="77" t="s">
        <v>449</v>
      </c>
      <c r="E24" s="77" t="s">
        <v>610</v>
      </c>
      <c r="F24" s="186">
        <v>44347</v>
      </c>
      <c r="G24" s="37" t="s">
        <v>612</v>
      </c>
      <c r="H24" s="37" t="s">
        <v>614</v>
      </c>
      <c r="I24" s="184">
        <v>327083.33</v>
      </c>
      <c r="J24" s="184"/>
      <c r="K24" s="184">
        <f t="shared" si="2"/>
        <v>327083.33</v>
      </c>
      <c r="L24" s="77" t="s">
        <v>447</v>
      </c>
      <c r="M24" s="221">
        <v>2.0712E-3</v>
      </c>
      <c r="N24" s="187">
        <f>Tabla4[[#This Row],[TOTAL AMOUNT]]*Tabla4[[#This Row],[EXCHANGE RATE]]</f>
        <v>677.45499309600007</v>
      </c>
    </row>
    <row r="25" spans="1:14" x14ac:dyDescent="0.2">
      <c r="A25" s="37" t="s">
        <v>24</v>
      </c>
      <c r="B25" s="77" t="s">
        <v>55</v>
      </c>
      <c r="C25" s="37" t="s">
        <v>448</v>
      </c>
      <c r="D25" s="77" t="s">
        <v>449</v>
      </c>
      <c r="E25" s="77" t="s">
        <v>610</v>
      </c>
      <c r="F25" s="186">
        <v>44380</v>
      </c>
      <c r="G25" s="37" t="s">
        <v>613</v>
      </c>
      <c r="H25" s="37" t="s">
        <v>614</v>
      </c>
      <c r="I25" s="184">
        <v>327083.33</v>
      </c>
      <c r="J25" s="184"/>
      <c r="K25" s="184">
        <f t="shared" si="1"/>
        <v>327083.33</v>
      </c>
      <c r="L25" s="77" t="s">
        <v>447</v>
      </c>
      <c r="M25" s="221">
        <v>2.0712E-3</v>
      </c>
      <c r="N25" s="187">
        <f>Tabla4[[#This Row],[TOTAL AMOUNT]]*Tabla4[[#This Row],[EXCHANGE RATE]]</f>
        <v>677.45499309600007</v>
      </c>
    </row>
    <row r="26" spans="1:14" x14ac:dyDescent="0.2">
      <c r="I26" s="184"/>
      <c r="J26" s="184"/>
      <c r="K26" s="184"/>
    </row>
    <row r="27" spans="1:14" x14ac:dyDescent="0.2">
      <c r="A27" s="37" t="s">
        <v>29</v>
      </c>
      <c r="N27" s="185">
        <f>SUBTOTAL(109,Tabla4[AMOUNT CHARGED TO THE PROJECT])</f>
        <v>31191.59508024</v>
      </c>
    </row>
    <row r="32" spans="1:14" x14ac:dyDescent="0.2">
      <c r="N32" s="153"/>
    </row>
  </sheetData>
  <phoneticPr fontId="17" type="noConversion"/>
  <pageMargins left="0.7" right="0.7" top="0.75" bottom="0.75" header="0.3" footer="0.3"/>
  <pageSetup paperSize="9"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Data!$E$3:$E$7</xm:f>
          </x14:formula1>
          <xm:sqref>A2:A26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M37"/>
  <sheetViews>
    <sheetView workbookViewId="0">
      <selection activeCell="L6" sqref="L6"/>
    </sheetView>
  </sheetViews>
  <sheetFormatPr baseColWidth="10" defaultColWidth="11.42578125" defaultRowHeight="12" x14ac:dyDescent="0.2"/>
  <cols>
    <col min="1" max="1" width="17.42578125" style="37" customWidth="1"/>
    <col min="2" max="2" width="10.140625" style="37" customWidth="1"/>
    <col min="3" max="3" width="11.140625" style="37" customWidth="1"/>
    <col min="4" max="4" width="11.42578125" style="37" customWidth="1"/>
    <col min="5" max="6" width="12.42578125" style="37" customWidth="1"/>
    <col min="7" max="7" width="38.140625" style="37" customWidth="1"/>
    <col min="8" max="8" width="14.140625" style="37" customWidth="1"/>
    <col min="9" max="9" width="8.42578125" style="77" customWidth="1"/>
    <col min="10" max="10" width="11.42578125" style="77"/>
    <col min="11" max="11" width="12.42578125" style="77" customWidth="1"/>
    <col min="12" max="12" width="17.42578125" style="77" customWidth="1"/>
    <col min="13" max="13" width="13.42578125" style="77" customWidth="1"/>
    <col min="14" max="16384" width="11.42578125" style="37"/>
  </cols>
  <sheetData>
    <row r="1" spans="1:13" s="39" customFormat="1" ht="36" x14ac:dyDescent="0.25">
      <c r="A1" s="36" t="s">
        <v>15</v>
      </c>
      <c r="B1" s="36" t="s">
        <v>16</v>
      </c>
      <c r="C1" s="36" t="s">
        <v>17</v>
      </c>
      <c r="D1" s="36" t="s">
        <v>18</v>
      </c>
      <c r="E1" s="36" t="s">
        <v>22</v>
      </c>
      <c r="F1" s="36" t="s">
        <v>630</v>
      </c>
      <c r="G1" s="36" t="s">
        <v>38</v>
      </c>
      <c r="H1" s="36" t="s">
        <v>39</v>
      </c>
      <c r="I1" s="36" t="s">
        <v>40</v>
      </c>
      <c r="J1" s="36" t="s">
        <v>41</v>
      </c>
      <c r="K1" s="36" t="s">
        <v>42</v>
      </c>
      <c r="L1" s="36" t="s">
        <v>43</v>
      </c>
      <c r="M1" s="36" t="s">
        <v>44</v>
      </c>
    </row>
    <row r="2" spans="1:13" x14ac:dyDescent="0.2">
      <c r="A2" s="37" t="s">
        <v>23</v>
      </c>
      <c r="B2" s="37" t="s">
        <v>56</v>
      </c>
      <c r="C2" s="37" t="s">
        <v>121</v>
      </c>
      <c r="D2" s="77" t="s">
        <v>92</v>
      </c>
      <c r="E2" s="37" t="s">
        <v>756</v>
      </c>
      <c r="F2" s="205">
        <v>44112</v>
      </c>
      <c r="G2" s="37" t="s">
        <v>257</v>
      </c>
      <c r="H2" s="37" t="s">
        <v>258</v>
      </c>
      <c r="I2" s="154">
        <v>0</v>
      </c>
      <c r="J2" s="154">
        <v>404.52</v>
      </c>
      <c r="K2" s="77" t="s">
        <v>256</v>
      </c>
      <c r="L2" s="221">
        <v>0.86119999999999997</v>
      </c>
      <c r="M2" s="156">
        <f>Tabla47[[#This Row],[AMOUNT]]*Tabla47[[#This Row],[EXCHANGE RATE]]</f>
        <v>348.37262399999997</v>
      </c>
    </row>
    <row r="3" spans="1:13" x14ac:dyDescent="0.2">
      <c r="A3" s="37" t="s">
        <v>73</v>
      </c>
      <c r="B3" s="37" t="s">
        <v>56</v>
      </c>
      <c r="C3" s="37" t="s">
        <v>121</v>
      </c>
      <c r="D3" s="77" t="s">
        <v>92</v>
      </c>
      <c r="E3" s="37" t="s">
        <v>757</v>
      </c>
      <c r="F3" s="205">
        <v>44113</v>
      </c>
      <c r="G3" s="37" t="s">
        <v>259</v>
      </c>
      <c r="H3" s="37" t="s">
        <v>258</v>
      </c>
      <c r="I3" s="154">
        <v>0</v>
      </c>
      <c r="J3" s="154">
        <v>499</v>
      </c>
      <c r="K3" s="77" t="s">
        <v>256</v>
      </c>
      <c r="L3" s="221">
        <v>0.86119999999999997</v>
      </c>
      <c r="M3" s="156">
        <f>Tabla47[[#This Row],[AMOUNT]]*Tabla47[[#This Row],[EXCHANGE RATE]]</f>
        <v>429.73879999999997</v>
      </c>
    </row>
    <row r="4" spans="1:13" x14ac:dyDescent="0.2">
      <c r="A4" s="37" t="s">
        <v>73</v>
      </c>
      <c r="B4" s="37" t="s">
        <v>56</v>
      </c>
      <c r="C4" s="37" t="s">
        <v>121</v>
      </c>
      <c r="D4" s="77" t="s">
        <v>92</v>
      </c>
      <c r="E4" s="37" t="s">
        <v>758</v>
      </c>
      <c r="F4" s="205">
        <v>44541</v>
      </c>
      <c r="G4" s="37" t="s">
        <v>759</v>
      </c>
      <c r="H4" s="37" t="s">
        <v>258</v>
      </c>
      <c r="I4" s="154">
        <v>0</v>
      </c>
      <c r="J4" s="154">
        <v>593</v>
      </c>
      <c r="K4" s="77" t="s">
        <v>256</v>
      </c>
      <c r="L4" s="221">
        <v>0.86119999999999997</v>
      </c>
      <c r="M4" s="156">
        <f>Tabla47[[#This Row],[AMOUNT]]*Tabla47[[#This Row],[EXCHANGE RATE]]</f>
        <v>510.69159999999999</v>
      </c>
    </row>
    <row r="5" spans="1:13" x14ac:dyDescent="0.2">
      <c r="A5" s="37" t="s">
        <v>24</v>
      </c>
      <c r="B5" s="37" t="s">
        <v>59</v>
      </c>
      <c r="C5" s="37" t="s">
        <v>790</v>
      </c>
      <c r="D5" s="77" t="s">
        <v>449</v>
      </c>
      <c r="E5" s="37" t="s">
        <v>766</v>
      </c>
      <c r="F5" s="205">
        <v>44515</v>
      </c>
      <c r="G5" s="37" t="s">
        <v>764</v>
      </c>
      <c r="H5" s="37" t="s">
        <v>760</v>
      </c>
      <c r="I5" s="154">
        <v>0</v>
      </c>
      <c r="J5" s="154">
        <v>125000</v>
      </c>
      <c r="K5" s="77" t="s">
        <v>447</v>
      </c>
      <c r="L5" s="221">
        <v>2.0712E-3</v>
      </c>
      <c r="M5" s="156">
        <f>Tabla47[[#This Row],[AMOUNT]]*Tabla47[[#This Row],[EXCHANGE RATE]]</f>
        <v>258.89999999999998</v>
      </c>
    </row>
    <row r="6" spans="1:13" x14ac:dyDescent="0.2">
      <c r="A6" s="37" t="s">
        <v>24</v>
      </c>
      <c r="B6" s="37" t="s">
        <v>59</v>
      </c>
      <c r="C6" s="37" t="s">
        <v>790</v>
      </c>
      <c r="D6" s="77" t="s">
        <v>449</v>
      </c>
      <c r="E6" s="37" t="s">
        <v>768</v>
      </c>
      <c r="F6" s="205">
        <v>44524</v>
      </c>
      <c r="G6" s="37" t="s">
        <v>765</v>
      </c>
      <c r="H6" s="37" t="s">
        <v>760</v>
      </c>
      <c r="I6" s="154">
        <v>0</v>
      </c>
      <c r="J6" s="154">
        <v>125000</v>
      </c>
      <c r="K6" s="77" t="s">
        <v>447</v>
      </c>
      <c r="L6" s="221">
        <v>2.0712E-3</v>
      </c>
      <c r="M6" s="156">
        <f>Tabla47[[#This Row],[AMOUNT]]*Tabla47[[#This Row],[EXCHANGE RATE]]</f>
        <v>258.89999999999998</v>
      </c>
    </row>
    <row r="7" spans="1:13" x14ac:dyDescent="0.2">
      <c r="A7" s="37" t="s">
        <v>73</v>
      </c>
      <c r="B7" s="37" t="s">
        <v>59</v>
      </c>
      <c r="C7" s="37" t="s">
        <v>790</v>
      </c>
      <c r="D7" s="77" t="s">
        <v>449</v>
      </c>
      <c r="E7" s="37" t="s">
        <v>767</v>
      </c>
      <c r="F7" s="205">
        <v>44515</v>
      </c>
      <c r="G7" s="37" t="s">
        <v>762</v>
      </c>
      <c r="H7" s="37" t="s">
        <v>761</v>
      </c>
      <c r="I7" s="154">
        <v>0</v>
      </c>
      <c r="J7" s="154">
        <v>120000</v>
      </c>
      <c r="K7" s="77" t="s">
        <v>447</v>
      </c>
      <c r="L7" s="221">
        <v>2.0712E-3</v>
      </c>
      <c r="M7" s="156">
        <f>Tabla47[[#This Row],[AMOUNT]]*Tabla47[[#This Row],[EXCHANGE RATE]]</f>
        <v>248.54400000000001</v>
      </c>
    </row>
    <row r="8" spans="1:13" x14ac:dyDescent="0.2">
      <c r="A8" s="37" t="s">
        <v>73</v>
      </c>
      <c r="B8" s="37" t="s">
        <v>59</v>
      </c>
      <c r="C8" s="37" t="s">
        <v>790</v>
      </c>
      <c r="D8" s="77" t="s">
        <v>449</v>
      </c>
      <c r="E8" s="37" t="s">
        <v>769</v>
      </c>
      <c r="F8" s="205">
        <v>44524</v>
      </c>
      <c r="G8" s="37" t="s">
        <v>763</v>
      </c>
      <c r="H8" s="37" t="s">
        <v>761</v>
      </c>
      <c r="I8" s="154">
        <v>0</v>
      </c>
      <c r="J8" s="154">
        <v>120000</v>
      </c>
      <c r="K8" s="77" t="s">
        <v>447</v>
      </c>
      <c r="L8" s="221">
        <v>2.0712E-3</v>
      </c>
      <c r="M8" s="156">
        <f>Tabla47[[#This Row],[AMOUNT]]*Tabla47[[#This Row],[EXCHANGE RATE]]</f>
        <v>248.54400000000001</v>
      </c>
    </row>
    <row r="9" spans="1:13" x14ac:dyDescent="0.2">
      <c r="A9" s="37" t="s">
        <v>72</v>
      </c>
      <c r="B9" s="37" t="s">
        <v>51</v>
      </c>
      <c r="C9" s="37" t="s">
        <v>779</v>
      </c>
      <c r="D9" s="77" t="s">
        <v>63</v>
      </c>
      <c r="E9" s="37" t="s">
        <v>778</v>
      </c>
      <c r="F9" s="205">
        <v>44545</v>
      </c>
      <c r="G9" s="37" t="s">
        <v>777</v>
      </c>
      <c r="H9" s="37" t="s">
        <v>780</v>
      </c>
      <c r="I9" s="154">
        <v>0</v>
      </c>
      <c r="J9" s="154">
        <v>3715</v>
      </c>
      <c r="K9" s="77" t="s">
        <v>255</v>
      </c>
      <c r="L9" s="222">
        <v>1</v>
      </c>
      <c r="M9" s="223">
        <f>Tabla47[[#This Row],[AMOUNT]]*Tabla47[[#This Row],[EXCHANGE RATE]]</f>
        <v>3715</v>
      </c>
    </row>
    <row r="10" spans="1:13" x14ac:dyDescent="0.2">
      <c r="I10" s="154"/>
      <c r="J10" s="154"/>
      <c r="M10" s="155"/>
    </row>
    <row r="11" spans="1:13" x14ac:dyDescent="0.2">
      <c r="I11" s="154"/>
      <c r="J11" s="154"/>
      <c r="M11" s="155"/>
    </row>
    <row r="12" spans="1:13" x14ac:dyDescent="0.2">
      <c r="I12" s="154"/>
      <c r="J12" s="154"/>
      <c r="M12" s="155"/>
    </row>
    <row r="13" spans="1:13" x14ac:dyDescent="0.2">
      <c r="I13" s="154"/>
      <c r="J13" s="154"/>
      <c r="M13" s="155"/>
    </row>
    <row r="14" spans="1:13" x14ac:dyDescent="0.2">
      <c r="I14" s="154"/>
      <c r="J14" s="154"/>
      <c r="M14" s="155"/>
    </row>
    <row r="15" spans="1:13" x14ac:dyDescent="0.2">
      <c r="I15" s="154"/>
      <c r="J15" s="154"/>
      <c r="M15" s="155"/>
    </row>
    <row r="16" spans="1:13" x14ac:dyDescent="0.2">
      <c r="I16" s="154"/>
      <c r="J16" s="154"/>
      <c r="M16" s="155"/>
    </row>
    <row r="17" spans="9:13" x14ac:dyDescent="0.2">
      <c r="I17" s="154"/>
      <c r="J17" s="154"/>
      <c r="M17" s="155"/>
    </row>
    <row r="18" spans="9:13" x14ac:dyDescent="0.2">
      <c r="I18" s="154"/>
      <c r="J18" s="154"/>
      <c r="M18" s="155"/>
    </row>
    <row r="19" spans="9:13" x14ac:dyDescent="0.2">
      <c r="I19" s="154"/>
      <c r="J19" s="154"/>
      <c r="M19" s="155"/>
    </row>
    <row r="20" spans="9:13" x14ac:dyDescent="0.2">
      <c r="I20" s="154"/>
      <c r="J20" s="154"/>
      <c r="M20" s="155"/>
    </row>
    <row r="21" spans="9:13" x14ac:dyDescent="0.2">
      <c r="I21" s="154"/>
      <c r="J21" s="154"/>
      <c r="M21" s="155"/>
    </row>
    <row r="22" spans="9:13" x14ac:dyDescent="0.2">
      <c r="I22" s="154"/>
      <c r="J22" s="154"/>
      <c r="M22" s="155"/>
    </row>
    <row r="23" spans="9:13" x14ac:dyDescent="0.2">
      <c r="I23" s="154"/>
      <c r="J23" s="154"/>
      <c r="M23" s="155"/>
    </row>
    <row r="24" spans="9:13" x14ac:dyDescent="0.2">
      <c r="I24" s="154"/>
      <c r="J24" s="154"/>
      <c r="M24" s="155"/>
    </row>
    <row r="25" spans="9:13" x14ac:dyDescent="0.2">
      <c r="I25" s="154"/>
      <c r="J25" s="154"/>
      <c r="M25" s="155"/>
    </row>
    <row r="26" spans="9:13" x14ac:dyDescent="0.2">
      <c r="I26" s="154"/>
      <c r="J26" s="154"/>
      <c r="M26" s="155"/>
    </row>
    <row r="27" spans="9:13" x14ac:dyDescent="0.2">
      <c r="I27" s="154"/>
      <c r="J27" s="154"/>
      <c r="M27" s="155"/>
    </row>
    <row r="28" spans="9:13" x14ac:dyDescent="0.2">
      <c r="I28" s="154"/>
      <c r="J28" s="154"/>
      <c r="M28" s="155"/>
    </row>
    <row r="29" spans="9:13" x14ac:dyDescent="0.2">
      <c r="I29" s="154"/>
      <c r="J29" s="154"/>
      <c r="M29" s="155"/>
    </row>
    <row r="30" spans="9:13" x14ac:dyDescent="0.2">
      <c r="I30" s="154"/>
      <c r="J30" s="154"/>
      <c r="M30" s="155"/>
    </row>
    <row r="31" spans="9:13" x14ac:dyDescent="0.2">
      <c r="I31" s="154"/>
      <c r="J31" s="154"/>
      <c r="M31" s="155"/>
    </row>
    <row r="32" spans="9:13" x14ac:dyDescent="0.2">
      <c r="I32" s="154"/>
      <c r="J32" s="154"/>
      <c r="M32" s="155"/>
    </row>
    <row r="33" spans="1:13" x14ac:dyDescent="0.2">
      <c r="I33" s="154"/>
      <c r="J33" s="154"/>
      <c r="M33" s="155"/>
    </row>
    <row r="34" spans="1:13" x14ac:dyDescent="0.2">
      <c r="I34" s="154"/>
      <c r="J34" s="154"/>
      <c r="M34" s="155"/>
    </row>
    <row r="35" spans="1:13" x14ac:dyDescent="0.2">
      <c r="I35" s="154"/>
      <c r="J35" s="154"/>
      <c r="M35" s="155"/>
    </row>
    <row r="36" spans="1:13" x14ac:dyDescent="0.2">
      <c r="I36" s="154"/>
      <c r="J36" s="154"/>
      <c r="M36" s="155"/>
    </row>
    <row r="37" spans="1:13" x14ac:dyDescent="0.2">
      <c r="A37" s="37" t="s">
        <v>29</v>
      </c>
      <c r="M37" s="155">
        <f>SUBTOTAL(109,Tabla47[AMOUNT CHARGED TO THE PROJECT])</f>
        <v>6018.6910239999997</v>
      </c>
    </row>
  </sheetData>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Data!$E$3:$E$7</xm:f>
          </x14:formula1>
          <xm:sqref>A2:A36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B2:J36"/>
  <sheetViews>
    <sheetView tabSelected="1" topLeftCell="B1" zoomScale="90" zoomScaleNormal="90" workbookViewId="0">
      <selection activeCell="C8" sqref="C8"/>
    </sheetView>
  </sheetViews>
  <sheetFormatPr baseColWidth="10" defaultColWidth="11.42578125" defaultRowHeight="12" x14ac:dyDescent="0.2"/>
  <cols>
    <col min="1" max="1" width="3.42578125" style="40" customWidth="1"/>
    <col min="2" max="2" width="17.42578125" style="40" bestFit="1" customWidth="1"/>
    <col min="3" max="3" width="11.42578125" style="40"/>
    <col min="4" max="4" width="4.5703125" style="40" customWidth="1"/>
    <col min="5" max="5" width="21.85546875" style="40" customWidth="1"/>
    <col min="6" max="6" width="11.42578125" style="40"/>
    <col min="7" max="7" width="24.42578125" style="40" bestFit="1" customWidth="1"/>
    <col min="8" max="8" width="46.5703125" style="40" bestFit="1" customWidth="1"/>
    <col min="9" max="9" width="18" style="40" bestFit="1" customWidth="1"/>
    <col min="10" max="10" width="17.7109375" style="40" bestFit="1" customWidth="1"/>
    <col min="11" max="11" width="14.85546875" style="40" bestFit="1" customWidth="1"/>
    <col min="12" max="13" width="11.42578125" style="40"/>
    <col min="14" max="14" width="12.42578125" style="40" bestFit="1" customWidth="1"/>
    <col min="15" max="16384" width="11.42578125" style="40"/>
  </cols>
  <sheetData>
    <row r="2" spans="2:10" x14ac:dyDescent="0.2">
      <c r="B2" s="41" t="s">
        <v>13</v>
      </c>
      <c r="C2" s="41" t="s">
        <v>11</v>
      </c>
      <c r="E2" s="47" t="s">
        <v>65</v>
      </c>
      <c r="G2" s="41" t="s">
        <v>50</v>
      </c>
      <c r="H2" s="41" t="s">
        <v>87</v>
      </c>
      <c r="I2" s="41" t="s">
        <v>14</v>
      </c>
      <c r="J2" s="41" t="s">
        <v>67</v>
      </c>
    </row>
    <row r="3" spans="2:10" x14ac:dyDescent="0.2">
      <c r="B3" s="42" t="s">
        <v>76</v>
      </c>
      <c r="C3" s="43">
        <v>0</v>
      </c>
      <c r="E3" s="48" t="s">
        <v>23</v>
      </c>
      <c r="F3" s="52"/>
      <c r="G3" s="45" t="s">
        <v>51</v>
      </c>
      <c r="H3" s="45" t="s">
        <v>94</v>
      </c>
      <c r="I3" s="45" t="s">
        <v>63</v>
      </c>
      <c r="J3" s="45" t="s">
        <v>95</v>
      </c>
    </row>
    <row r="4" spans="2:10" x14ac:dyDescent="0.2">
      <c r="B4" s="45" t="s">
        <v>78</v>
      </c>
      <c r="C4" s="46">
        <v>20</v>
      </c>
      <c r="E4" s="48" t="s">
        <v>24</v>
      </c>
      <c r="F4" s="44"/>
      <c r="G4" s="45" t="s">
        <v>52</v>
      </c>
      <c r="H4" s="45" t="s">
        <v>96</v>
      </c>
      <c r="I4" s="45" t="s">
        <v>63</v>
      </c>
      <c r="J4" s="45" t="s">
        <v>95</v>
      </c>
    </row>
    <row r="5" spans="2:10" x14ac:dyDescent="0.2">
      <c r="B5" s="45" t="s">
        <v>77</v>
      </c>
      <c r="C5" s="46">
        <v>180</v>
      </c>
      <c r="E5" s="48" t="s">
        <v>72</v>
      </c>
      <c r="F5" s="44"/>
      <c r="G5" s="45" t="s">
        <v>53</v>
      </c>
      <c r="H5" s="45" t="s">
        <v>97</v>
      </c>
      <c r="I5" s="45" t="s">
        <v>90</v>
      </c>
      <c r="J5" s="45" t="s">
        <v>98</v>
      </c>
    </row>
    <row r="6" spans="2:10" x14ac:dyDescent="0.2">
      <c r="B6" s="45" t="s">
        <v>79</v>
      </c>
      <c r="C6" s="46">
        <v>275</v>
      </c>
      <c r="E6" s="48" t="s">
        <v>73</v>
      </c>
      <c r="F6" s="44"/>
      <c r="G6" s="45" t="s">
        <v>54</v>
      </c>
      <c r="H6" s="45" t="s">
        <v>99</v>
      </c>
      <c r="I6" s="45" t="s">
        <v>91</v>
      </c>
      <c r="J6" s="45" t="s">
        <v>100</v>
      </c>
    </row>
    <row r="7" spans="2:10" x14ac:dyDescent="0.2">
      <c r="B7" s="45" t="s">
        <v>80</v>
      </c>
      <c r="C7" s="46">
        <v>360</v>
      </c>
      <c r="E7" s="48" t="s">
        <v>74</v>
      </c>
      <c r="F7" s="44"/>
      <c r="G7" s="45" t="s">
        <v>55</v>
      </c>
      <c r="H7" s="45" t="s">
        <v>653</v>
      </c>
      <c r="I7" s="45" t="s">
        <v>449</v>
      </c>
      <c r="J7" s="45" t="s">
        <v>101</v>
      </c>
    </row>
    <row r="8" spans="2:10" x14ac:dyDescent="0.2">
      <c r="B8" s="45" t="s">
        <v>81</v>
      </c>
      <c r="C8" s="46">
        <v>530</v>
      </c>
      <c r="F8" s="44"/>
      <c r="G8" s="45" t="s">
        <v>56</v>
      </c>
      <c r="H8" s="45" t="s">
        <v>102</v>
      </c>
      <c r="I8" s="45" t="s">
        <v>92</v>
      </c>
      <c r="J8" s="45" t="s">
        <v>103</v>
      </c>
    </row>
    <row r="9" spans="2:10" x14ac:dyDescent="0.2">
      <c r="B9" s="45" t="s">
        <v>82</v>
      </c>
      <c r="C9" s="46">
        <v>820</v>
      </c>
      <c r="E9" s="47" t="s">
        <v>64</v>
      </c>
      <c r="G9" s="45" t="s">
        <v>57</v>
      </c>
      <c r="H9" s="45" t="s">
        <v>104</v>
      </c>
      <c r="I9" s="45" t="s">
        <v>92</v>
      </c>
      <c r="J9" s="45" t="s">
        <v>103</v>
      </c>
    </row>
    <row r="10" spans="2:10" x14ac:dyDescent="0.2">
      <c r="B10" s="45" t="s">
        <v>83</v>
      </c>
      <c r="C10" s="46">
        <v>1500</v>
      </c>
      <c r="E10" s="49" t="s">
        <v>47</v>
      </c>
      <c r="G10" s="45" t="s">
        <v>58</v>
      </c>
      <c r="H10" s="45" t="s">
        <v>105</v>
      </c>
      <c r="I10" s="45" t="s">
        <v>92</v>
      </c>
      <c r="J10" s="45" t="s">
        <v>103</v>
      </c>
    </row>
    <row r="11" spans="2:10" x14ac:dyDescent="0.2">
      <c r="C11" s="44"/>
      <c r="E11" s="49" t="s">
        <v>48</v>
      </c>
      <c r="G11" s="45" t="s">
        <v>59</v>
      </c>
      <c r="H11" s="45" t="s">
        <v>789</v>
      </c>
      <c r="I11" s="45" t="s">
        <v>449</v>
      </c>
      <c r="J11" s="45" t="s">
        <v>106</v>
      </c>
    </row>
    <row r="12" spans="2:10" x14ac:dyDescent="0.2">
      <c r="E12" s="49" t="s">
        <v>226</v>
      </c>
      <c r="G12" s="45" t="s">
        <v>60</v>
      </c>
      <c r="H12" s="45" t="s">
        <v>107</v>
      </c>
      <c r="I12" s="45" t="s">
        <v>93</v>
      </c>
      <c r="J12" s="45" t="s">
        <v>108</v>
      </c>
    </row>
    <row r="13" spans="2:10" x14ac:dyDescent="0.2">
      <c r="B13" s="47" t="s">
        <v>25</v>
      </c>
      <c r="C13" s="47" t="s">
        <v>66</v>
      </c>
      <c r="E13" s="49" t="s">
        <v>229</v>
      </c>
      <c r="G13" s="45" t="s">
        <v>61</v>
      </c>
      <c r="H13" s="45" t="s">
        <v>129</v>
      </c>
      <c r="I13" s="45" t="s">
        <v>93</v>
      </c>
      <c r="J13" s="45" t="s">
        <v>108</v>
      </c>
    </row>
    <row r="14" spans="2:10" x14ac:dyDescent="0.2">
      <c r="B14" s="45" t="s">
        <v>26</v>
      </c>
      <c r="C14" s="46">
        <v>120</v>
      </c>
      <c r="G14" s="45" t="s">
        <v>62</v>
      </c>
      <c r="H14" s="45" t="s">
        <v>110</v>
      </c>
      <c r="I14" s="45" t="s">
        <v>92</v>
      </c>
      <c r="J14" s="45" t="s">
        <v>103</v>
      </c>
    </row>
    <row r="15" spans="2:10" x14ac:dyDescent="0.2">
      <c r="B15" s="45" t="s">
        <v>27</v>
      </c>
      <c r="C15" s="46">
        <v>70</v>
      </c>
      <c r="G15" s="45" t="s">
        <v>86</v>
      </c>
      <c r="H15" s="45" t="s">
        <v>111</v>
      </c>
      <c r="I15" s="45" t="s">
        <v>93</v>
      </c>
      <c r="J15" s="45" t="s">
        <v>108</v>
      </c>
    </row>
    <row r="16" spans="2:10" x14ac:dyDescent="0.2">
      <c r="B16" s="45" t="s">
        <v>28</v>
      </c>
      <c r="C16" s="46">
        <v>50</v>
      </c>
      <c r="G16" s="45" t="s">
        <v>113</v>
      </c>
      <c r="H16" s="45" t="s">
        <v>112</v>
      </c>
      <c r="I16" s="45" t="s">
        <v>449</v>
      </c>
      <c r="J16" s="45" t="s">
        <v>101</v>
      </c>
    </row>
    <row r="17" spans="2:10" x14ac:dyDescent="0.2">
      <c r="J17" s="57" t="s">
        <v>115</v>
      </c>
    </row>
    <row r="18" spans="2:10" x14ac:dyDescent="0.2">
      <c r="B18" s="47" t="s">
        <v>84</v>
      </c>
      <c r="C18" s="47" t="s">
        <v>66</v>
      </c>
    </row>
    <row r="19" spans="2:10" x14ac:dyDescent="0.2">
      <c r="B19" s="45" t="s">
        <v>26</v>
      </c>
      <c r="C19" s="46">
        <v>55</v>
      </c>
    </row>
    <row r="20" spans="2:10" x14ac:dyDescent="0.2">
      <c r="B20" s="45" t="s">
        <v>85</v>
      </c>
      <c r="C20" s="46">
        <v>40</v>
      </c>
      <c r="E20" s="41" t="s">
        <v>14</v>
      </c>
      <c r="F20" s="41" t="s">
        <v>47</v>
      </c>
      <c r="G20" s="41" t="s">
        <v>48</v>
      </c>
      <c r="H20" s="41" t="s">
        <v>75</v>
      </c>
      <c r="I20" s="41" t="s">
        <v>49</v>
      </c>
    </row>
    <row r="21" spans="2:10" x14ac:dyDescent="0.2">
      <c r="C21" s="44"/>
      <c r="E21" s="53" t="s">
        <v>63</v>
      </c>
      <c r="F21" s="54">
        <v>164</v>
      </c>
      <c r="G21" s="54">
        <v>137</v>
      </c>
      <c r="H21" s="54">
        <v>102</v>
      </c>
      <c r="I21" s="54">
        <v>78</v>
      </c>
    </row>
    <row r="22" spans="2:10" x14ac:dyDescent="0.2">
      <c r="E22" s="55" t="s">
        <v>90</v>
      </c>
      <c r="F22" s="54">
        <v>164</v>
      </c>
      <c r="G22" s="54">
        <v>137</v>
      </c>
      <c r="H22" s="54">
        <v>102</v>
      </c>
      <c r="I22" s="54">
        <v>78</v>
      </c>
    </row>
    <row r="23" spans="2:10" x14ac:dyDescent="0.2">
      <c r="E23" s="55" t="s">
        <v>91</v>
      </c>
      <c r="F23" s="54">
        <v>280</v>
      </c>
      <c r="G23" s="54">
        <v>214</v>
      </c>
      <c r="H23" s="54">
        <v>162</v>
      </c>
      <c r="I23" s="54">
        <v>131</v>
      </c>
    </row>
    <row r="24" spans="2:10" x14ac:dyDescent="0.2">
      <c r="E24" s="55" t="s">
        <v>449</v>
      </c>
      <c r="F24" s="54">
        <v>77</v>
      </c>
      <c r="G24" s="54">
        <v>57</v>
      </c>
      <c r="H24" s="54">
        <v>40</v>
      </c>
      <c r="I24" s="54">
        <v>32</v>
      </c>
    </row>
    <row r="25" spans="2:10" x14ac:dyDescent="0.2">
      <c r="E25" s="55" t="s">
        <v>92</v>
      </c>
      <c r="F25" s="54">
        <v>47</v>
      </c>
      <c r="G25" s="54">
        <v>33</v>
      </c>
      <c r="H25" s="54">
        <v>22</v>
      </c>
      <c r="I25" s="54">
        <v>17</v>
      </c>
    </row>
    <row r="26" spans="2:10" x14ac:dyDescent="0.2">
      <c r="E26" s="56" t="s">
        <v>93</v>
      </c>
      <c r="F26" s="54">
        <v>47</v>
      </c>
      <c r="G26" s="54">
        <v>33</v>
      </c>
      <c r="H26" s="54">
        <v>22</v>
      </c>
      <c r="I26" s="54">
        <v>17</v>
      </c>
    </row>
    <row r="32" spans="2:10" x14ac:dyDescent="0.2">
      <c r="F32" s="182"/>
      <c r="G32" s="97"/>
    </row>
    <row r="33" spans="6:7" x14ac:dyDescent="0.2">
      <c r="F33" s="182"/>
      <c r="G33" s="97"/>
    </row>
    <row r="34" spans="6:7" x14ac:dyDescent="0.2">
      <c r="F34" s="182"/>
      <c r="G34" s="97"/>
    </row>
    <row r="35" spans="6:7" x14ac:dyDescent="0.2">
      <c r="F35" s="182"/>
      <c r="G35" s="97"/>
    </row>
    <row r="36" spans="6:7" x14ac:dyDescent="0.2">
      <c r="F36" s="182"/>
    </row>
  </sheetData>
  <dataValidations count="1">
    <dataValidation type="list" allowBlank="1" showInputMessage="1" showErrorMessage="1" sqref="H11 H7" xr:uid="{92A7F368-CA3D-4EBD-979F-812821DEF678}">
      <formula1>$H$3:$H$16</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89"/>
  <sheetViews>
    <sheetView workbookViewId="0">
      <selection activeCell="AB27" sqref="AB27"/>
    </sheetView>
  </sheetViews>
  <sheetFormatPr baseColWidth="10" defaultRowHeight="15" x14ac:dyDescent="0.25"/>
  <cols>
    <col min="1" max="1" width="3.85546875" bestFit="1" customWidth="1"/>
    <col min="2" max="9" width="7" customWidth="1"/>
    <col min="10" max="10" width="5.7109375" customWidth="1"/>
    <col min="11" max="11" width="9.140625" customWidth="1"/>
    <col min="12" max="12" width="8.42578125" customWidth="1"/>
    <col min="13" max="14" width="3.85546875" bestFit="1" customWidth="1"/>
    <col min="15" max="24" width="7.42578125" customWidth="1"/>
    <col min="34" max="34" width="3.85546875" bestFit="1" customWidth="1"/>
  </cols>
  <sheetData>
    <row r="1" spans="1:26" x14ac:dyDescent="0.25">
      <c r="A1" s="262" t="s">
        <v>793</v>
      </c>
      <c r="B1" s="263"/>
      <c r="C1" s="263"/>
      <c r="D1" s="263"/>
      <c r="E1" s="263"/>
      <c r="F1" s="263"/>
      <c r="G1" s="263"/>
      <c r="H1" s="263"/>
      <c r="I1" s="263"/>
      <c r="J1" s="263"/>
      <c r="K1" s="263"/>
      <c r="L1" s="264"/>
      <c r="N1" s="262" t="s">
        <v>794</v>
      </c>
      <c r="O1" s="263"/>
      <c r="P1" s="263"/>
      <c r="Q1" s="263"/>
      <c r="R1" s="263"/>
      <c r="S1" s="263"/>
      <c r="T1" s="263"/>
      <c r="U1" s="263"/>
      <c r="V1" s="263"/>
      <c r="W1" s="263"/>
      <c r="X1" s="264"/>
    </row>
    <row r="2" spans="1:26" x14ac:dyDescent="0.25">
      <c r="A2" s="85"/>
      <c r="B2" s="265" t="s">
        <v>47</v>
      </c>
      <c r="C2" s="266"/>
      <c r="D2" s="265" t="s">
        <v>141</v>
      </c>
      <c r="E2" s="266"/>
      <c r="F2" s="265" t="s">
        <v>142</v>
      </c>
      <c r="G2" s="266"/>
      <c r="H2" s="265" t="s">
        <v>140</v>
      </c>
      <c r="I2" s="267"/>
      <c r="J2" s="124" t="s">
        <v>29</v>
      </c>
      <c r="K2" s="125" t="s">
        <v>228</v>
      </c>
      <c r="L2" s="144" t="s">
        <v>9</v>
      </c>
      <c r="N2" s="120"/>
      <c r="O2" s="268" t="s">
        <v>74</v>
      </c>
      <c r="P2" s="269"/>
      <c r="Q2" s="268" t="s">
        <v>23</v>
      </c>
      <c r="R2" s="269"/>
      <c r="S2" s="268" t="s">
        <v>24</v>
      </c>
      <c r="T2" s="269"/>
      <c r="U2" s="268" t="s">
        <v>72</v>
      </c>
      <c r="V2" s="269"/>
      <c r="W2" s="268" t="s">
        <v>143</v>
      </c>
      <c r="X2" s="269"/>
    </row>
    <row r="3" spans="1:26" x14ac:dyDescent="0.25">
      <c r="A3" s="86" t="s">
        <v>51</v>
      </c>
      <c r="B3" s="115">
        <v>190</v>
      </c>
      <c r="C3" s="108">
        <f>SUMIFS(Tabla3[NUMBER OF DAYS],Tabla3[PARTNER NUMBER],'Summary Staff Costs'!A3,Tabla3[STAFF CATEGORY],"Manager")</f>
        <v>141</v>
      </c>
      <c r="D3" s="115">
        <v>235</v>
      </c>
      <c r="E3" s="108">
        <f>SUMIFS(Tabla3[NUMBER OF DAYS],Tabla3[PARTNER NUMBER],'Summary Staff Costs'!A3,Tabla3[STAFF CATEGORY],"Teacher/Trainer/Researcher")</f>
        <v>225</v>
      </c>
      <c r="F3" s="115">
        <v>10</v>
      </c>
      <c r="G3" s="108">
        <f>SUMIFS(Tabla3[NUMBER OF DAYS],Tabla3[PARTNER NUMBER],'Summary Staff Costs'!A3,Tabla3[STAFF CATEGORY],"Technical Staff")</f>
        <v>10</v>
      </c>
      <c r="H3" s="115">
        <v>145</v>
      </c>
      <c r="I3" s="106">
        <f>SUMIFS(Tabla3[NUMBER OF DAYS],Tabla3[PARTNER NUMBER],'Summary Staff Costs'!A3,Tabla3[STAFF CATEGORY],"Administrative staff")</f>
        <v>94</v>
      </c>
      <c r="J3" s="113">
        <f t="shared" ref="J3:J16" si="0">SUM(B3,D3,F3,H3)</f>
        <v>580</v>
      </c>
      <c r="K3" s="111">
        <f t="shared" ref="K3:K16" si="1">SUM(C3,E3,G3,I3)</f>
        <v>470</v>
      </c>
      <c r="L3" s="118">
        <f t="shared" ref="L3:L16" si="2">K3*100/J3</f>
        <v>81.034482758620683</v>
      </c>
      <c r="N3" s="121" t="s">
        <v>51</v>
      </c>
      <c r="O3" s="115">
        <v>165</v>
      </c>
      <c r="P3" s="108">
        <f>SUMIFS('Staff Costs'!L:L,'Staff Costs'!B:B,'Summary Staff Costs'!N3,'Staff Costs'!A:A,"Management")</f>
        <v>121</v>
      </c>
      <c r="Q3" s="115">
        <v>60</v>
      </c>
      <c r="R3" s="108">
        <f>SUMIFS('Staff Costs'!L:L,'Staff Costs'!B:B,'Summary Staff Costs'!N3,'Staff Costs'!A:A,"Preparation")</f>
        <v>60</v>
      </c>
      <c r="S3" s="115">
        <v>250</v>
      </c>
      <c r="T3" s="108">
        <f>SUMIFS('Staff Costs'!L:L,'Staff Costs'!B:B,'Summary Staff Costs'!N3,'Staff Costs'!A:A,"Development")</f>
        <v>221</v>
      </c>
      <c r="U3" s="115">
        <v>90</v>
      </c>
      <c r="V3" s="108">
        <f>SUMIFS('Staff Costs'!L:L,'Staff Costs'!B:B,'Summary Staff Costs'!N3,'Staff Costs'!A:A,"Quality Plan")</f>
        <v>60</v>
      </c>
      <c r="W3" s="115">
        <v>15</v>
      </c>
      <c r="X3" s="108">
        <f>SUMIFS('Staff Costs'!L:L,'Staff Costs'!B:B,'Summary Staff Costs'!N3,'Staff Costs'!A:A,"Dissemination &amp; Exploitation")</f>
        <v>8</v>
      </c>
      <c r="Z3" s="165"/>
    </row>
    <row r="4" spans="1:26" x14ac:dyDescent="0.25">
      <c r="A4" s="87" t="s">
        <v>52</v>
      </c>
      <c r="B4" s="116">
        <v>35</v>
      </c>
      <c r="C4" s="109">
        <f>SUMIFS(Tabla3[NUMBER OF DAYS],Tabla3[PARTNER NUMBER],'Summary Staff Costs'!A4,Tabla3[STAFF CATEGORY],"Manager")</f>
        <v>25</v>
      </c>
      <c r="D4" s="116">
        <v>325</v>
      </c>
      <c r="E4" s="109">
        <f>SUMIFS(Tabla3[NUMBER OF DAYS],Tabla3[PARTNER NUMBER],'Summary Staff Costs'!A4,Tabla3[STAFF CATEGORY],"Teacher/Trainer/Researcher")</f>
        <v>300</v>
      </c>
      <c r="F4" s="116">
        <v>0</v>
      </c>
      <c r="G4" s="109">
        <f>SUMIFS(Tabla3[NUMBER OF DAYS],Tabla3[PARTNER NUMBER],'Summary Staff Costs'!A4,Tabla3[STAFF CATEGORY],"Technical Staff")</f>
        <v>0</v>
      </c>
      <c r="H4" s="116">
        <v>15</v>
      </c>
      <c r="I4" s="107">
        <f>SUMIFS(Tabla3[NUMBER OF DAYS],Tabla3[PARTNER NUMBER],'Summary Staff Costs'!A4,Tabla3[STAFF CATEGORY],"Administrative staff")</f>
        <v>0</v>
      </c>
      <c r="J4" s="114">
        <f t="shared" si="0"/>
        <v>375</v>
      </c>
      <c r="K4" s="112">
        <f t="shared" si="1"/>
        <v>325</v>
      </c>
      <c r="L4" s="119">
        <f t="shared" si="2"/>
        <v>86.666666666666671</v>
      </c>
      <c r="N4" s="122" t="s">
        <v>52</v>
      </c>
      <c r="O4" s="116">
        <v>0</v>
      </c>
      <c r="P4" s="109">
        <f>SUMIFS('Staff Costs'!L:L,'Staff Costs'!B:B,'Summary Staff Costs'!N4,'Staff Costs'!A:A,"Management")</f>
        <v>0</v>
      </c>
      <c r="Q4" s="116">
        <v>115</v>
      </c>
      <c r="R4" s="109">
        <f>SUMIFS('Staff Costs'!L:L,'Staff Costs'!B:B,'Summary Staff Costs'!N4,'Staff Costs'!A:A,"Preparation")</f>
        <v>115</v>
      </c>
      <c r="S4" s="116">
        <v>215</v>
      </c>
      <c r="T4" s="109">
        <f>SUMIFS('Staff Costs'!L:L,'Staff Costs'!B:B,'Summary Staff Costs'!N4,'Staff Costs'!A:A,"Development")</f>
        <v>192</v>
      </c>
      <c r="U4" s="116">
        <v>45</v>
      </c>
      <c r="V4" s="109">
        <f>SUMIFS('Staff Costs'!L:L,'Staff Costs'!B:B,'Summary Staff Costs'!N4,'Staff Costs'!A:A,"Quality Plan")</f>
        <v>18</v>
      </c>
      <c r="W4" s="116">
        <v>0</v>
      </c>
      <c r="X4" s="109">
        <f>SUMIFS('Staff Costs'!L:L,'Staff Costs'!B:B,'Summary Staff Costs'!N4,'Staff Costs'!A:A,"Dissemination &amp; Exploitation")</f>
        <v>0</v>
      </c>
    </row>
    <row r="5" spans="1:26" x14ac:dyDescent="0.25">
      <c r="A5" s="86" t="s">
        <v>53</v>
      </c>
      <c r="B5" s="115">
        <v>90</v>
      </c>
      <c r="C5" s="108">
        <f>SUMIFS(Tabla3[NUMBER OF DAYS],Tabla3[PARTNER NUMBER],'Summary Staff Costs'!A5,Tabla3[STAFF CATEGORY],"Manager")</f>
        <v>56</v>
      </c>
      <c r="D5" s="115">
        <v>166</v>
      </c>
      <c r="E5" s="108">
        <f>SUMIFS(Tabla3[NUMBER OF DAYS],Tabla3[PARTNER NUMBER],'Summary Staff Costs'!A5,Tabla3[STAFF CATEGORY],"Teacher/Trainer/Researcher")</f>
        <v>104</v>
      </c>
      <c r="F5" s="115">
        <v>0</v>
      </c>
      <c r="G5" s="108">
        <f>SUMIFS(Tabla3[NUMBER OF DAYS],Tabla3[PARTNER NUMBER],'Summary Staff Costs'!A5,Tabla3[STAFF CATEGORY],"Technical Staff")</f>
        <v>0</v>
      </c>
      <c r="H5" s="115">
        <v>70</v>
      </c>
      <c r="I5" s="106">
        <f>SUMIFS(Tabla3[NUMBER OF DAYS],Tabla3[PARTNER NUMBER],'Summary Staff Costs'!A5,Tabla3[STAFF CATEGORY],"Administrative staff")</f>
        <v>39</v>
      </c>
      <c r="J5" s="113">
        <f t="shared" si="0"/>
        <v>326</v>
      </c>
      <c r="K5" s="111">
        <f t="shared" si="1"/>
        <v>199</v>
      </c>
      <c r="L5" s="118">
        <f t="shared" si="2"/>
        <v>61.04294478527607</v>
      </c>
      <c r="N5" s="121" t="s">
        <v>53</v>
      </c>
      <c r="O5" s="115">
        <v>90</v>
      </c>
      <c r="P5" s="108">
        <f>SUMIFS('Staff Costs'!L:L,'Staff Costs'!B:B,'Summary Staff Costs'!N5,'Staff Costs'!A:A,"Management")</f>
        <v>68</v>
      </c>
      <c r="Q5" s="115">
        <v>20</v>
      </c>
      <c r="R5" s="108">
        <f>SUMIFS('Staff Costs'!L:L,'Staff Costs'!B:B,'Summary Staff Costs'!N5,'Staff Costs'!A:A,"Preparation")</f>
        <v>15</v>
      </c>
      <c r="S5" s="115">
        <v>171</v>
      </c>
      <c r="T5" s="108">
        <f>SUMIFS('Staff Costs'!L:L,'Staff Costs'!B:B,'Summary Staff Costs'!N5,'Staff Costs'!A:A,"Development")</f>
        <v>89</v>
      </c>
      <c r="U5" s="115">
        <v>45</v>
      </c>
      <c r="V5" s="108">
        <f>SUMIFS('Staff Costs'!L:L,'Staff Costs'!B:B,'Summary Staff Costs'!N5,'Staff Costs'!A:A,"Quality Plan")</f>
        <v>27</v>
      </c>
      <c r="W5" s="115">
        <v>0</v>
      </c>
      <c r="X5" s="108">
        <f>SUMIFS('Staff Costs'!L:L,'Staff Costs'!B:B,'Summary Staff Costs'!N5,'Staff Costs'!A:A,"Dissemination &amp; Exploitation")</f>
        <v>0</v>
      </c>
    </row>
    <row r="6" spans="1:26" x14ac:dyDescent="0.25">
      <c r="A6" s="87" t="s">
        <v>54</v>
      </c>
      <c r="B6" s="116">
        <v>80</v>
      </c>
      <c r="C6" s="109">
        <f>SUMIFS(Tabla3[NUMBER OF DAYS],Tabla3[PARTNER NUMBER],'Summary Staff Costs'!A6,Tabla3[STAFF CATEGORY],"Manager")</f>
        <v>50</v>
      </c>
      <c r="D6" s="116">
        <v>133</v>
      </c>
      <c r="E6" s="109">
        <f>SUMIFS(Tabla3[NUMBER OF DAYS],Tabla3[PARTNER NUMBER],'Summary Staff Costs'!A6,Tabla3[STAFF CATEGORY],"Teacher/Trainer/Researcher")</f>
        <v>125</v>
      </c>
      <c r="F6" s="116">
        <v>20</v>
      </c>
      <c r="G6" s="109">
        <f>SUMIFS(Tabla3[NUMBER OF DAYS],Tabla3[PARTNER NUMBER],'Summary Staff Costs'!A6,Tabla3[STAFF CATEGORY],"Technical Staff")</f>
        <v>15</v>
      </c>
      <c r="H6" s="116">
        <v>73</v>
      </c>
      <c r="I6" s="107">
        <f>SUMIFS(Tabla3[NUMBER OF DAYS],Tabla3[PARTNER NUMBER],'Summary Staff Costs'!A6,Tabla3[STAFF CATEGORY],"Administrative staff")</f>
        <v>41</v>
      </c>
      <c r="J6" s="114">
        <f t="shared" si="0"/>
        <v>306</v>
      </c>
      <c r="K6" s="112">
        <f t="shared" si="1"/>
        <v>231</v>
      </c>
      <c r="L6" s="119">
        <f t="shared" si="2"/>
        <v>75.490196078431367</v>
      </c>
      <c r="N6" s="122" t="s">
        <v>54</v>
      </c>
      <c r="O6" s="116">
        <v>90</v>
      </c>
      <c r="P6" s="109">
        <f>SUMIFS('Staff Costs'!L:L,'Staff Costs'!B:B,'Summary Staff Costs'!N6,'Staff Costs'!A:A,"Management")</f>
        <v>51</v>
      </c>
      <c r="Q6" s="116">
        <v>20</v>
      </c>
      <c r="R6" s="109">
        <f>SUMIFS('Staff Costs'!L:L,'Staff Costs'!B:B,'Summary Staff Costs'!N6,'Staff Costs'!A:A,"Preparation")</f>
        <v>20</v>
      </c>
      <c r="S6" s="116">
        <v>118</v>
      </c>
      <c r="T6" s="109">
        <f>SUMIFS('Staff Costs'!L:L,'Staff Costs'!B:B,'Summary Staff Costs'!N6,'Staff Costs'!A:A,"Development")</f>
        <v>110</v>
      </c>
      <c r="U6" s="116">
        <v>45</v>
      </c>
      <c r="V6" s="109">
        <f>SUMIFS('Staff Costs'!L:L,'Staff Costs'!B:B,'Summary Staff Costs'!N6,'Staff Costs'!A:A,"Quality Plan")</f>
        <v>23</v>
      </c>
      <c r="W6" s="116">
        <v>33</v>
      </c>
      <c r="X6" s="109">
        <f>SUMIFS('Staff Costs'!L:L,'Staff Costs'!B:B,'Summary Staff Costs'!N6,'Staff Costs'!A:A,"Dissemination &amp; Exploitation")</f>
        <v>27</v>
      </c>
    </row>
    <row r="7" spans="1:26" x14ac:dyDescent="0.25">
      <c r="A7" s="86" t="s">
        <v>55</v>
      </c>
      <c r="B7" s="115">
        <v>75</v>
      </c>
      <c r="C7" s="108">
        <f>SUMIFS(Tabla3[NUMBER OF DAYS],Tabla3[PARTNER NUMBER],'Summary Staff Costs'!A7,Tabla3[STAFF CATEGORY],"Manager")</f>
        <v>73</v>
      </c>
      <c r="D7" s="115">
        <v>145</v>
      </c>
      <c r="E7" s="108">
        <f>SUMIFS(Tabla3[NUMBER OF DAYS],Tabla3[PARTNER NUMBER],'Summary Staff Costs'!A7,Tabla3[STAFF CATEGORY],"Teacher/Trainer/Researcher")</f>
        <v>85</v>
      </c>
      <c r="F7" s="115">
        <v>0</v>
      </c>
      <c r="G7" s="108">
        <f>SUMIFS(Tabla3[NUMBER OF DAYS],Tabla3[PARTNER NUMBER],'Summary Staff Costs'!A7,Tabla3[STAFF CATEGORY],"Technical Staff")</f>
        <v>0</v>
      </c>
      <c r="H7" s="115">
        <v>70</v>
      </c>
      <c r="I7" s="106">
        <f>SUMIFS(Tabla3[NUMBER OF DAYS],Tabla3[PARTNER NUMBER],'Summary Staff Costs'!A7,Tabla3[STAFF CATEGORY],"Administrative staff")</f>
        <v>56</v>
      </c>
      <c r="J7" s="113">
        <f t="shared" si="0"/>
        <v>290</v>
      </c>
      <c r="K7" s="111">
        <f t="shared" si="1"/>
        <v>214</v>
      </c>
      <c r="L7" s="118">
        <f t="shared" si="2"/>
        <v>73.793103448275858</v>
      </c>
      <c r="N7" s="121" t="s">
        <v>55</v>
      </c>
      <c r="O7" s="115">
        <v>85</v>
      </c>
      <c r="P7" s="108">
        <f>SUMIFS('Staff Costs'!L:L,'Staff Costs'!B:B,'Summary Staff Costs'!N7,'Staff Costs'!A:A,"Management")</f>
        <v>106</v>
      </c>
      <c r="Q7" s="115">
        <v>5</v>
      </c>
      <c r="R7" s="108">
        <f>SUMIFS('Staff Costs'!L:L,'Staff Costs'!B:B,'Summary Staff Costs'!N7,'Staff Costs'!A:A,"Preparation")</f>
        <v>5</v>
      </c>
      <c r="S7" s="115">
        <v>145</v>
      </c>
      <c r="T7" s="108">
        <f>SUMIFS('Staff Costs'!L:L,'Staff Costs'!B:B,'Summary Staff Costs'!N7,'Staff Costs'!A:A,"Development")</f>
        <v>93</v>
      </c>
      <c r="U7" s="115">
        <v>45</v>
      </c>
      <c r="V7" s="108">
        <f>SUMIFS('Staff Costs'!L:L,'Staff Costs'!B:B,'Summary Staff Costs'!N7,'Staff Costs'!A:A,"Quality Plan")</f>
        <v>8</v>
      </c>
      <c r="W7" s="115">
        <v>10</v>
      </c>
      <c r="X7" s="108">
        <f>SUMIFS('Staff Costs'!L:L,'Staff Costs'!B:B,'Summary Staff Costs'!N7,'Staff Costs'!A:A,"Dissemination &amp; Exploitation")</f>
        <v>2</v>
      </c>
    </row>
    <row r="8" spans="1:26" x14ac:dyDescent="0.25">
      <c r="A8" s="87" t="s">
        <v>56</v>
      </c>
      <c r="B8" s="116">
        <v>165</v>
      </c>
      <c r="C8" s="109">
        <f>SUMIFS(Tabla3[NUMBER OF DAYS],Tabla3[PARTNER NUMBER],'Summary Staff Costs'!A8,Tabla3[STAFF CATEGORY],"Manager")</f>
        <v>128</v>
      </c>
      <c r="D8" s="116">
        <v>50</v>
      </c>
      <c r="E8" s="109">
        <f>SUMIFS(Tabla3[NUMBER OF DAYS],Tabla3[PARTNER NUMBER],'Summary Staff Costs'!A8,Tabla3[STAFF CATEGORY],"Teacher/Trainer/Researcher")</f>
        <v>30</v>
      </c>
      <c r="F8" s="116">
        <v>120</v>
      </c>
      <c r="G8" s="109">
        <f>SUMIFS(Tabla3[NUMBER OF DAYS],Tabla3[PARTNER NUMBER],'Summary Staff Costs'!A8,Tabla3[STAFF CATEGORY],"Technical Staff")</f>
        <v>90</v>
      </c>
      <c r="H8" s="116">
        <v>150</v>
      </c>
      <c r="I8" s="107">
        <f>SUMIFS(Tabla3[NUMBER OF DAYS],Tabla3[PARTNER NUMBER],'Summary Staff Costs'!A8,Tabla3[STAFF CATEGORY],"Administrative staff")</f>
        <v>112</v>
      </c>
      <c r="J8" s="114">
        <f t="shared" si="0"/>
        <v>485</v>
      </c>
      <c r="K8" s="112">
        <f t="shared" si="1"/>
        <v>360</v>
      </c>
      <c r="L8" s="119">
        <f t="shared" si="2"/>
        <v>74.226804123711347</v>
      </c>
      <c r="N8" s="122" t="s">
        <v>56</v>
      </c>
      <c r="O8" s="116">
        <v>85</v>
      </c>
      <c r="P8" s="109">
        <f>SUMIFS('Staff Costs'!L:L,'Staff Costs'!B:B,'Summary Staff Costs'!N8,'Staff Costs'!A:A,"Management")</f>
        <v>69</v>
      </c>
      <c r="Q8" s="116">
        <v>5</v>
      </c>
      <c r="R8" s="109">
        <f>SUMIFS('Staff Costs'!L:L,'Staff Costs'!B:B,'Summary Staff Costs'!N8,'Staff Costs'!A:A,"Preparation")</f>
        <v>69</v>
      </c>
      <c r="S8" s="116">
        <v>70</v>
      </c>
      <c r="T8" s="109">
        <f>SUMIFS('Staff Costs'!L:L,'Staff Costs'!B:B,'Summary Staff Costs'!N8,'Staff Costs'!A:A,"Development")</f>
        <v>73</v>
      </c>
      <c r="U8" s="116">
        <v>45</v>
      </c>
      <c r="V8" s="109">
        <f>SUMIFS('Staff Costs'!L:L,'Staff Costs'!B:B,'Summary Staff Costs'!N8,'Staff Costs'!A:A,"Quality Plan")</f>
        <v>13</v>
      </c>
      <c r="W8" s="116">
        <v>280</v>
      </c>
      <c r="X8" s="109">
        <f>SUMIFS('Staff Costs'!L:L,'Staff Costs'!B:B,'Summary Staff Costs'!N8,'Staff Costs'!A:A,"Dissemination &amp; Exploitation")</f>
        <v>136</v>
      </c>
    </row>
    <row r="9" spans="1:26" x14ac:dyDescent="0.25">
      <c r="A9" s="86" t="s">
        <v>57</v>
      </c>
      <c r="B9" s="115">
        <v>60</v>
      </c>
      <c r="C9" s="108">
        <f>SUMIFS(Tabla3[NUMBER OF DAYS],Tabla3[PARTNER NUMBER],'Summary Staff Costs'!A9,Tabla3[STAFF CATEGORY],"Manager")</f>
        <v>66</v>
      </c>
      <c r="D9" s="115">
        <v>55</v>
      </c>
      <c r="E9" s="108">
        <f>SUMIFS(Tabla3[NUMBER OF DAYS],Tabla3[PARTNER NUMBER],'Summary Staff Costs'!A9,Tabla3[STAFF CATEGORY],"Teacher/Trainer/Researcher")</f>
        <v>0</v>
      </c>
      <c r="F9" s="115">
        <v>0</v>
      </c>
      <c r="G9" s="108">
        <f>SUMIFS(Tabla3[NUMBER OF DAYS],Tabla3[PARTNER NUMBER],'Summary Staff Costs'!A9,Tabla3[STAFF CATEGORY],"Technical Staff")</f>
        <v>0</v>
      </c>
      <c r="H9" s="115">
        <v>55</v>
      </c>
      <c r="I9" s="106">
        <f>SUMIFS(Tabla3[NUMBER OF DAYS],Tabla3[PARTNER NUMBER],'Summary Staff Costs'!A9,Tabla3[STAFF CATEGORY],"Administrative staff")</f>
        <v>16</v>
      </c>
      <c r="J9" s="113">
        <f t="shared" si="0"/>
        <v>170</v>
      </c>
      <c r="K9" s="111">
        <f t="shared" si="1"/>
        <v>82</v>
      </c>
      <c r="L9" s="118">
        <f t="shared" si="2"/>
        <v>48.235294117647058</v>
      </c>
      <c r="N9" s="121" t="s">
        <v>57</v>
      </c>
      <c r="O9" s="115">
        <v>55</v>
      </c>
      <c r="P9" s="108">
        <f>SUMIFS('Staff Costs'!L:L,'Staff Costs'!B:B,'Summary Staff Costs'!N9,'Staff Costs'!A:A,"Management")</f>
        <v>26</v>
      </c>
      <c r="Q9" s="115">
        <v>5</v>
      </c>
      <c r="R9" s="108">
        <f>SUMIFS('Staff Costs'!L:L,'Staff Costs'!B:B,'Summary Staff Costs'!N9,'Staff Costs'!A:A,"Preparation")</f>
        <v>4</v>
      </c>
      <c r="S9" s="115">
        <v>55</v>
      </c>
      <c r="T9" s="108">
        <f>SUMIFS('Staff Costs'!L:L,'Staff Costs'!B:B,'Summary Staff Costs'!N9,'Staff Costs'!A:A,"Development")</f>
        <v>29</v>
      </c>
      <c r="U9" s="115">
        <v>45</v>
      </c>
      <c r="V9" s="108">
        <f>SUMIFS('Staff Costs'!L:L,'Staff Costs'!B:B,'Summary Staff Costs'!N9,'Staff Costs'!A:A,"Quality Plan")</f>
        <v>2</v>
      </c>
      <c r="W9" s="115">
        <v>10</v>
      </c>
      <c r="X9" s="108">
        <f>SUMIFS('Staff Costs'!L:L,'Staff Costs'!B:B,'Summary Staff Costs'!N9,'Staff Costs'!A:A,"Dissemination &amp; Exploitation")</f>
        <v>21</v>
      </c>
    </row>
    <row r="10" spans="1:26" x14ac:dyDescent="0.25">
      <c r="A10" s="87" t="s">
        <v>58</v>
      </c>
      <c r="B10" s="116">
        <v>60</v>
      </c>
      <c r="C10" s="109">
        <f>SUMIFS(Tabla3[NUMBER OF DAYS],Tabla3[PARTNER NUMBER],'Summary Staff Costs'!A10,Tabla3[STAFF CATEGORY],"Manager")</f>
        <v>56</v>
      </c>
      <c r="D10" s="116">
        <v>55</v>
      </c>
      <c r="E10" s="109">
        <f>SUMIFS(Tabla3[NUMBER OF DAYS],Tabla3[PARTNER NUMBER],'Summary Staff Costs'!A10,Tabla3[STAFF CATEGORY],"Teacher/Trainer/Researcher")</f>
        <v>0</v>
      </c>
      <c r="F10" s="116">
        <v>0</v>
      </c>
      <c r="G10" s="109">
        <f>SUMIFS(Tabla3[NUMBER OF DAYS],Tabla3[PARTNER NUMBER],'Summary Staff Costs'!A10,Tabla3[STAFF CATEGORY],"Technical Staff")</f>
        <v>0</v>
      </c>
      <c r="H10" s="116">
        <v>55</v>
      </c>
      <c r="I10" s="107">
        <f>SUMIFS(Tabla3[NUMBER OF DAYS],Tabla3[PARTNER NUMBER],'Summary Staff Costs'!A10,Tabla3[STAFF CATEGORY],"Administrative staff")</f>
        <v>44</v>
      </c>
      <c r="J10" s="114">
        <f t="shared" si="0"/>
        <v>170</v>
      </c>
      <c r="K10" s="112">
        <f t="shared" si="1"/>
        <v>100</v>
      </c>
      <c r="L10" s="119">
        <f t="shared" si="2"/>
        <v>58.823529411764703</v>
      </c>
      <c r="N10" s="122" t="s">
        <v>58</v>
      </c>
      <c r="O10" s="116">
        <v>55</v>
      </c>
      <c r="P10" s="109">
        <f>SUMIFS('Staff Costs'!L:L,'Staff Costs'!B:B,'Summary Staff Costs'!N10,'Staff Costs'!A:A,"Management")</f>
        <v>48</v>
      </c>
      <c r="Q10" s="116">
        <v>5</v>
      </c>
      <c r="R10" s="109">
        <f>SUMIFS('Staff Costs'!L:L,'Staff Costs'!B:B,'Summary Staff Costs'!N10,'Staff Costs'!A:A,"Preparation")</f>
        <v>5</v>
      </c>
      <c r="S10" s="116">
        <v>55</v>
      </c>
      <c r="T10" s="109">
        <f>SUMIFS('Staff Costs'!L:L,'Staff Costs'!B:B,'Summary Staff Costs'!N10,'Staff Costs'!A:A,"Development")</f>
        <v>18</v>
      </c>
      <c r="U10" s="116">
        <v>45</v>
      </c>
      <c r="V10" s="109">
        <f>SUMIFS('Staff Costs'!L:L,'Staff Costs'!B:B,'Summary Staff Costs'!N10,'Staff Costs'!A:A,"Quality Plan")</f>
        <v>4</v>
      </c>
      <c r="W10" s="116">
        <v>10</v>
      </c>
      <c r="X10" s="109">
        <f>SUMIFS('Staff Costs'!L:L,'Staff Costs'!B:B,'Summary Staff Costs'!N10,'Staff Costs'!A:A,"Dissemination &amp; Exploitation")</f>
        <v>25</v>
      </c>
    </row>
    <row r="11" spans="1:26" x14ac:dyDescent="0.25">
      <c r="A11" s="86" t="s">
        <v>59</v>
      </c>
      <c r="B11" s="115">
        <v>100</v>
      </c>
      <c r="C11" s="108">
        <f>SUMIFS(Tabla3[NUMBER OF DAYS],Tabla3[PARTNER NUMBER],'Summary Staff Costs'!A11,Tabla3[STAFF CATEGORY],"Manager")</f>
        <v>66</v>
      </c>
      <c r="D11" s="115">
        <v>60</v>
      </c>
      <c r="E11" s="108">
        <f>SUMIFS(Tabla3[NUMBER OF DAYS],Tabla3[PARTNER NUMBER],'Summary Staff Costs'!A11,Tabla3[STAFF CATEGORY],"Teacher/Trainer/Researcher")</f>
        <v>40</v>
      </c>
      <c r="F11" s="115">
        <v>0</v>
      </c>
      <c r="G11" s="108">
        <f>SUMIFS(Tabla3[NUMBER OF DAYS],Tabla3[PARTNER NUMBER],'Summary Staff Costs'!A11,Tabla3[STAFF CATEGORY],"Technical Staff")</f>
        <v>0</v>
      </c>
      <c r="H11" s="115">
        <v>95</v>
      </c>
      <c r="I11" s="106">
        <f>SUMIFS(Tabla3[NUMBER OF DAYS],Tabla3[PARTNER NUMBER],'Summary Staff Costs'!A11,Tabla3[STAFF CATEGORY],"Administrative staff")</f>
        <v>64</v>
      </c>
      <c r="J11" s="113">
        <f t="shared" si="0"/>
        <v>255</v>
      </c>
      <c r="K11" s="111">
        <f t="shared" si="1"/>
        <v>170</v>
      </c>
      <c r="L11" s="118">
        <f t="shared" si="2"/>
        <v>66.666666666666671</v>
      </c>
      <c r="N11" s="121" t="s">
        <v>59</v>
      </c>
      <c r="O11" s="115">
        <v>85</v>
      </c>
      <c r="P11" s="108">
        <f>SUMIFS('Staff Costs'!L:L,'Staff Costs'!B:B,'Summary Staff Costs'!N11,'Staff Costs'!A:A,"Management")</f>
        <v>52</v>
      </c>
      <c r="Q11" s="115">
        <v>5</v>
      </c>
      <c r="R11" s="108">
        <f>SUMIFS('Staff Costs'!L:L,'Staff Costs'!B:B,'Summary Staff Costs'!N11,'Staff Costs'!A:A,"Preparation")</f>
        <v>5</v>
      </c>
      <c r="S11" s="115">
        <v>110</v>
      </c>
      <c r="T11" s="108">
        <f>SUMIFS('Staff Costs'!L:L,'Staff Costs'!B:B,'Summary Staff Costs'!N11,'Staff Costs'!A:A,"Development")</f>
        <v>81</v>
      </c>
      <c r="U11" s="115">
        <v>45</v>
      </c>
      <c r="V11" s="108">
        <f>SUMIFS('Staff Costs'!L:L,'Staff Costs'!B:B,'Summary Staff Costs'!N11,'Staff Costs'!A:A,"Quality Plan")</f>
        <v>25</v>
      </c>
      <c r="W11" s="115">
        <v>10</v>
      </c>
      <c r="X11" s="108">
        <f>SUMIFS('Staff Costs'!L:L,'Staff Costs'!B:B,'Summary Staff Costs'!N11,'Staff Costs'!A:A,"Dissemination &amp; Exploitation")</f>
        <v>7</v>
      </c>
    </row>
    <row r="12" spans="1:26" x14ac:dyDescent="0.25">
      <c r="A12" s="87" t="s">
        <v>60</v>
      </c>
      <c r="B12" s="116">
        <v>75</v>
      </c>
      <c r="C12" s="109">
        <f>SUMIFS(Tabla3[NUMBER OF DAYS],Tabla3[PARTNER NUMBER],'Summary Staff Costs'!A12,Tabla3[STAFF CATEGORY],"Manager")</f>
        <v>34</v>
      </c>
      <c r="D12" s="116">
        <v>55</v>
      </c>
      <c r="E12" s="109">
        <f>SUMIFS(Tabla3[NUMBER OF DAYS],Tabla3[PARTNER NUMBER],'Summary Staff Costs'!A12,Tabla3[STAFF CATEGORY],"Teacher/Trainer/Researcher")</f>
        <v>30</v>
      </c>
      <c r="F12" s="116">
        <v>0</v>
      </c>
      <c r="G12" s="109">
        <f>SUMIFS(Tabla3[NUMBER OF DAYS],Tabla3[PARTNER NUMBER],'Summary Staff Costs'!A12,Tabla3[STAFF CATEGORY],"Technical Staff")</f>
        <v>0</v>
      </c>
      <c r="H12" s="116">
        <v>70</v>
      </c>
      <c r="I12" s="107">
        <f>SUMIFS(Tabla3[NUMBER OF DAYS],Tabla3[PARTNER NUMBER],'Summary Staff Costs'!A12,Tabla3[STAFF CATEGORY],"Administrative staff")</f>
        <v>32</v>
      </c>
      <c r="J12" s="114">
        <f t="shared" si="0"/>
        <v>200</v>
      </c>
      <c r="K12" s="112">
        <f t="shared" si="1"/>
        <v>96</v>
      </c>
      <c r="L12" s="119">
        <f t="shared" si="2"/>
        <v>48</v>
      </c>
      <c r="N12" s="122" t="s">
        <v>60</v>
      </c>
      <c r="O12" s="116">
        <v>85</v>
      </c>
      <c r="P12" s="109">
        <f>SUMIFS('Staff Costs'!L:L,'Staff Costs'!B:B,'Summary Staff Costs'!N12,'Staff Costs'!A:A,"Management")</f>
        <v>49</v>
      </c>
      <c r="Q12" s="116">
        <v>5</v>
      </c>
      <c r="R12" s="109">
        <f>SUMIFS('Staff Costs'!L:L,'Staff Costs'!B:B,'Summary Staff Costs'!N12,'Staff Costs'!A:A,"Preparation")</f>
        <v>5</v>
      </c>
      <c r="S12" s="116">
        <v>55</v>
      </c>
      <c r="T12" s="109">
        <f>SUMIFS('Staff Costs'!L:L,'Staff Costs'!B:B,'Summary Staff Costs'!N12,'Staff Costs'!A:A,"Development")</f>
        <v>30</v>
      </c>
      <c r="U12" s="116">
        <v>45</v>
      </c>
      <c r="V12" s="109">
        <f>SUMIFS('Staff Costs'!L:L,'Staff Costs'!B:B,'Summary Staff Costs'!N12,'Staff Costs'!A:A,"Quality Plan")</f>
        <v>6</v>
      </c>
      <c r="W12" s="116">
        <v>10</v>
      </c>
      <c r="X12" s="109">
        <f>SUMIFS('Staff Costs'!L:L,'Staff Costs'!B:B,'Summary Staff Costs'!N12,'Staff Costs'!A:A,"Dissemination &amp; Exploitation")</f>
        <v>6</v>
      </c>
    </row>
    <row r="13" spans="1:26" x14ac:dyDescent="0.25">
      <c r="A13" s="86" t="s">
        <v>61</v>
      </c>
      <c r="B13" s="115">
        <v>105</v>
      </c>
      <c r="C13" s="108">
        <f>SUMIFS(Tabla3[NUMBER OF DAYS],Tabla3[PARTNER NUMBER],'Summary Staff Costs'!A13,Tabla3[STAFF CATEGORY],"Manager")</f>
        <v>73</v>
      </c>
      <c r="D13" s="115">
        <v>55</v>
      </c>
      <c r="E13" s="108">
        <f>SUMIFS(Tabla3[NUMBER OF DAYS],Tabla3[PARTNER NUMBER],'Summary Staff Costs'!A13,Tabla3[STAFF CATEGORY],"Teacher/Trainer/Researcher")</f>
        <v>27</v>
      </c>
      <c r="F13" s="115">
        <v>0</v>
      </c>
      <c r="G13" s="108">
        <f>SUMIFS(Tabla3[NUMBER OF DAYS],Tabla3[PARTNER NUMBER],'Summary Staff Costs'!A13,Tabla3[STAFF CATEGORY],"Technical Staff")</f>
        <v>0</v>
      </c>
      <c r="H13" s="115">
        <v>100</v>
      </c>
      <c r="I13" s="106">
        <f>SUMIFS(Tabla3[NUMBER OF DAYS],Tabla3[PARTNER NUMBER],'Summary Staff Costs'!A13,Tabla3[STAFF CATEGORY],"Administrative staff")</f>
        <v>77</v>
      </c>
      <c r="J13" s="113">
        <f t="shared" si="0"/>
        <v>260</v>
      </c>
      <c r="K13" s="111">
        <f t="shared" si="1"/>
        <v>177</v>
      </c>
      <c r="L13" s="118">
        <f t="shared" si="2"/>
        <v>68.07692307692308</v>
      </c>
      <c r="N13" s="121" t="s">
        <v>61</v>
      </c>
      <c r="O13" s="115">
        <v>85</v>
      </c>
      <c r="P13" s="108">
        <f>SUMIFS('Staff Costs'!L:L,'Staff Costs'!B:B,'Summary Staff Costs'!N13,'Staff Costs'!A:A,"Management")</f>
        <v>54</v>
      </c>
      <c r="Q13" s="115">
        <v>5</v>
      </c>
      <c r="R13" s="108">
        <f>SUMIFS('Staff Costs'!L:L,'Staff Costs'!B:B,'Summary Staff Costs'!N13,'Staff Costs'!A:A,"Preparation")</f>
        <v>15</v>
      </c>
      <c r="S13" s="115">
        <v>115</v>
      </c>
      <c r="T13" s="108">
        <f>SUMIFS('Staff Costs'!L:L,'Staff Costs'!B:B,'Summary Staff Costs'!N13,'Staff Costs'!A:A,"Development")</f>
        <v>90</v>
      </c>
      <c r="U13" s="115">
        <v>45</v>
      </c>
      <c r="V13" s="108">
        <f>SUMIFS('Staff Costs'!L:L,'Staff Costs'!B:B,'Summary Staff Costs'!N13,'Staff Costs'!A:A,"Quality Plan")</f>
        <v>10</v>
      </c>
      <c r="W13" s="115">
        <v>10</v>
      </c>
      <c r="X13" s="108">
        <f>SUMIFS('Staff Costs'!L:L,'Staff Costs'!B:B,'Summary Staff Costs'!N13,'Staff Costs'!A:A,"Dissemination &amp; Exploitation")</f>
        <v>8</v>
      </c>
    </row>
    <row r="14" spans="1:26" x14ac:dyDescent="0.25">
      <c r="A14" s="87" t="s">
        <v>62</v>
      </c>
      <c r="B14" s="116">
        <v>15</v>
      </c>
      <c r="C14" s="109">
        <f>SUMIFS(Tabla3[NUMBER OF DAYS],Tabla3[PARTNER NUMBER],'Summary Staff Costs'!A14,Tabla3[STAFF CATEGORY],"Manager")</f>
        <v>12</v>
      </c>
      <c r="D14" s="116">
        <v>0</v>
      </c>
      <c r="E14" s="109">
        <f>SUMIFS(Tabla3[NUMBER OF DAYS],Tabla3[PARTNER NUMBER],'Summary Staff Costs'!A14,Tabla3[STAFF CATEGORY],"Teacher/Trainer/Researcher")</f>
        <v>0</v>
      </c>
      <c r="F14" s="116">
        <v>0</v>
      </c>
      <c r="G14" s="109">
        <f>SUMIFS(Tabla3[NUMBER OF DAYS],Tabla3[PARTNER NUMBER],'Summary Staff Costs'!A14,Tabla3[STAFF CATEGORY],"Technical Staff")</f>
        <v>0</v>
      </c>
      <c r="H14" s="116">
        <v>0</v>
      </c>
      <c r="I14" s="107">
        <f>SUMIFS(Tabla3[NUMBER OF DAYS],Tabla3[PARTNER NUMBER],'Summary Staff Costs'!A14,Tabla3[STAFF CATEGORY],"Administrative staff")</f>
        <v>0</v>
      </c>
      <c r="J14" s="114">
        <f t="shared" si="0"/>
        <v>15</v>
      </c>
      <c r="K14" s="112">
        <f t="shared" si="1"/>
        <v>12</v>
      </c>
      <c r="L14" s="119">
        <f t="shared" si="2"/>
        <v>80</v>
      </c>
      <c r="N14" s="122" t="s">
        <v>62</v>
      </c>
      <c r="O14" s="116">
        <v>0</v>
      </c>
      <c r="P14" s="109">
        <f>SUMIFS('Staff Costs'!L:L,'Staff Costs'!B:B,'Summary Staff Costs'!N14,'Staff Costs'!A:A,"Management")</f>
        <v>1</v>
      </c>
      <c r="Q14" s="116">
        <v>0</v>
      </c>
      <c r="R14" s="109">
        <f>SUMIFS('Staff Costs'!L:L,'Staff Costs'!B:B,'Summary Staff Costs'!N14,'Staff Costs'!A:A,"Preparation")</f>
        <v>3</v>
      </c>
      <c r="S14" s="116">
        <v>15</v>
      </c>
      <c r="T14" s="109">
        <f>SUMIFS('Staff Costs'!L:L,'Staff Costs'!B:B,'Summary Staff Costs'!N14,'Staff Costs'!A:A,"Development")</f>
        <v>3</v>
      </c>
      <c r="U14" s="116">
        <v>0</v>
      </c>
      <c r="V14" s="109">
        <f>SUMIFS('Staff Costs'!L:L,'Staff Costs'!B:B,'Summary Staff Costs'!N14,'Staff Costs'!A:A,"Quality Plan")</f>
        <v>0</v>
      </c>
      <c r="W14" s="116">
        <v>0</v>
      </c>
      <c r="X14" s="109">
        <f>SUMIFS('Staff Costs'!L:L,'Staff Costs'!B:B,'Summary Staff Costs'!N14,'Staff Costs'!A:A,"Dissemination &amp; Exploitation")</f>
        <v>5</v>
      </c>
    </row>
    <row r="15" spans="1:26" x14ac:dyDescent="0.25">
      <c r="A15" s="86" t="s">
        <v>86</v>
      </c>
      <c r="B15" s="115">
        <v>10</v>
      </c>
      <c r="C15" s="108">
        <f>SUMIFS(Tabla3[NUMBER OF DAYS],Tabla3[PARTNER NUMBER],'Summary Staff Costs'!A15,Tabla3[STAFF CATEGORY],"Manager")</f>
        <v>0</v>
      </c>
      <c r="D15" s="115">
        <v>0</v>
      </c>
      <c r="E15" s="108">
        <f>SUMIFS(Tabla3[NUMBER OF DAYS],Tabla3[PARTNER NUMBER],'Summary Staff Costs'!A15,Tabla3[STAFF CATEGORY],"Teacher/Trainer/Researcher")</f>
        <v>0</v>
      </c>
      <c r="F15" s="115">
        <v>0</v>
      </c>
      <c r="G15" s="108">
        <f>SUMIFS(Tabla3[NUMBER OF DAYS],Tabla3[PARTNER NUMBER],'Summary Staff Costs'!A15,Tabla3[STAFF CATEGORY],"Technical Staff")</f>
        <v>0</v>
      </c>
      <c r="H15" s="115">
        <v>0</v>
      </c>
      <c r="I15" s="106">
        <f>SUMIFS(Tabla3[NUMBER OF DAYS],Tabla3[PARTNER NUMBER],'Summary Staff Costs'!A15,Tabla3[STAFF CATEGORY],"Administrative staff")</f>
        <v>0</v>
      </c>
      <c r="J15" s="113">
        <f t="shared" si="0"/>
        <v>10</v>
      </c>
      <c r="K15" s="111">
        <f t="shared" si="1"/>
        <v>0</v>
      </c>
      <c r="L15" s="118">
        <f t="shared" si="2"/>
        <v>0</v>
      </c>
      <c r="N15" s="121" t="s">
        <v>86</v>
      </c>
      <c r="O15" s="115">
        <v>0</v>
      </c>
      <c r="P15" s="108">
        <f>SUMIFS('Staff Costs'!L:L,'Staff Costs'!B:B,'Summary Staff Costs'!N15,'Staff Costs'!A:A,"Management")</f>
        <v>0</v>
      </c>
      <c r="Q15" s="115">
        <v>0</v>
      </c>
      <c r="R15" s="108">
        <f>SUMIFS('Staff Costs'!L:L,'Staff Costs'!B:B,'Summary Staff Costs'!N15,'Staff Costs'!A:A,"Preparation")</f>
        <v>0</v>
      </c>
      <c r="S15" s="115">
        <v>10</v>
      </c>
      <c r="T15" s="108">
        <f>SUMIFS('Staff Costs'!L:L,'Staff Costs'!B:B,'Summary Staff Costs'!N15,'Staff Costs'!A:A,"Development")</f>
        <v>0</v>
      </c>
      <c r="U15" s="115">
        <v>0</v>
      </c>
      <c r="V15" s="108">
        <f>SUMIFS('Staff Costs'!L:L,'Staff Costs'!B:B,'Summary Staff Costs'!N15,'Staff Costs'!A:A,"Quality Plan")</f>
        <v>0</v>
      </c>
      <c r="W15" s="115">
        <v>0</v>
      </c>
      <c r="X15" s="108">
        <f>SUMIFS('Staff Costs'!L:L,'Staff Costs'!B:B,'Summary Staff Costs'!N15,'Staff Costs'!A:A,"Dissemination &amp; Exploitation")</f>
        <v>0</v>
      </c>
    </row>
    <row r="16" spans="1:26" ht="15.75" thickBot="1" x14ac:dyDescent="0.3">
      <c r="A16" s="127" t="s">
        <v>113</v>
      </c>
      <c r="B16" s="128">
        <v>10</v>
      </c>
      <c r="C16" s="129">
        <f>SUMIFS(Tabla3[NUMBER OF DAYS],Tabla3[PARTNER NUMBER],'Summary Staff Costs'!A16,Tabla3[STAFF CATEGORY],"Manager")</f>
        <v>0</v>
      </c>
      <c r="D16" s="128">
        <v>0</v>
      </c>
      <c r="E16" s="129">
        <f>SUMIFS(Tabla3[NUMBER OF DAYS],Tabla3[PARTNER NUMBER],'Summary Staff Costs'!A16,Tabla3[STAFF CATEGORY],"Teacher/Trainer/Researcher")</f>
        <v>0</v>
      </c>
      <c r="F16" s="128">
        <v>0</v>
      </c>
      <c r="G16" s="129">
        <f>SUMIFS(Tabla3[NUMBER OF DAYS],Tabla3[PARTNER NUMBER],'Summary Staff Costs'!A16,Tabla3[STAFF CATEGORY],"Technical Staff")</f>
        <v>0</v>
      </c>
      <c r="H16" s="128">
        <v>0</v>
      </c>
      <c r="I16" s="130">
        <f>SUMIFS(Tabla3[NUMBER OF DAYS],Tabla3[PARTNER NUMBER],'Summary Staff Costs'!A16,Tabla3[STAFF CATEGORY],"Administrative staff")</f>
        <v>0</v>
      </c>
      <c r="J16" s="131">
        <f t="shared" si="0"/>
        <v>10</v>
      </c>
      <c r="K16" s="132">
        <f t="shared" si="1"/>
        <v>0</v>
      </c>
      <c r="L16" s="133">
        <f t="shared" si="2"/>
        <v>0</v>
      </c>
      <c r="N16" s="123" t="s">
        <v>113</v>
      </c>
      <c r="O16" s="117">
        <v>0</v>
      </c>
      <c r="P16" s="110">
        <f>SUMIFS('Staff Costs'!L:L,'Staff Costs'!B:B,'Summary Staff Costs'!N16,'Staff Costs'!A:A,"Management")</f>
        <v>0</v>
      </c>
      <c r="Q16" s="117">
        <v>0</v>
      </c>
      <c r="R16" s="110">
        <f>SUMIFS('Staff Costs'!L:L,'Staff Costs'!B:B,'Summary Staff Costs'!N16,'Staff Costs'!A:A,"Preparation")</f>
        <v>0</v>
      </c>
      <c r="S16" s="117">
        <v>10</v>
      </c>
      <c r="T16" s="110">
        <f>SUMIFS('Staff Costs'!L:L,'Staff Costs'!B:B,'Summary Staff Costs'!N16,'Staff Costs'!A:A,"Development")</f>
        <v>0</v>
      </c>
      <c r="U16" s="117">
        <v>0</v>
      </c>
      <c r="V16" s="110">
        <f>SUMIFS('Staff Costs'!L:L,'Staff Costs'!B:B,'Summary Staff Costs'!N16,'Staff Costs'!A:A,"Quality Plan")</f>
        <v>0</v>
      </c>
      <c r="W16" s="117">
        <v>0</v>
      </c>
      <c r="X16" s="110">
        <f>SUMIFS('Staff Costs'!L:L,'Staff Costs'!B:B,'Summary Staff Costs'!N16,'Staff Costs'!A:A,"Dissemination &amp; Exploitation")</f>
        <v>0</v>
      </c>
    </row>
    <row r="17" spans="1:33" s="126" customFormat="1" ht="16.5" thickTop="1" thickBot="1" x14ac:dyDescent="0.3">
      <c r="A17" s="134"/>
      <c r="B17" s="136" t="s">
        <v>9</v>
      </c>
      <c r="C17" s="137">
        <f>((SUM(C3:C16))*100)/SUM(B3:B16)</f>
        <v>72.89719626168224</v>
      </c>
      <c r="D17" s="136" t="s">
        <v>9</v>
      </c>
      <c r="E17" s="137">
        <f>((SUM(E3:E16))*100)/SUM(D3:D16)</f>
        <v>72.41379310344827</v>
      </c>
      <c r="F17" s="136" t="s">
        <v>9</v>
      </c>
      <c r="G17" s="137">
        <f>((SUM(G3:G16))*100)/SUM(F3:F16)</f>
        <v>76.666666666666671</v>
      </c>
      <c r="H17" s="136" t="s">
        <v>9</v>
      </c>
      <c r="I17" s="135">
        <f>((SUM(I3:I16))*100)/SUM(H3:H16)</f>
        <v>64.031180400890875</v>
      </c>
      <c r="J17" s="139" t="s">
        <v>9</v>
      </c>
      <c r="K17" s="135">
        <f>((SUM(K3:K16))*100)/SUM(J3:J16)</f>
        <v>70.56778679026651</v>
      </c>
      <c r="L17" s="138"/>
      <c r="N17" s="140"/>
      <c r="O17" s="136" t="s">
        <v>9</v>
      </c>
      <c r="P17" s="137">
        <f>((SUM(P3:P16))*100)/SUM(O3:O16)</f>
        <v>73.295454545454547</v>
      </c>
      <c r="Q17" s="136" t="s">
        <v>9</v>
      </c>
      <c r="R17" s="137">
        <f t="shared" ref="R17:X17" si="3">((SUM(R3:R16))*100)/SUM(Q3:Q16)</f>
        <v>128.4</v>
      </c>
      <c r="S17" s="136" t="s">
        <v>9</v>
      </c>
      <c r="T17" s="137">
        <f t="shared" si="3"/>
        <v>73.816355810616926</v>
      </c>
      <c r="U17" s="136" t="s">
        <v>9</v>
      </c>
      <c r="V17" s="137">
        <f t="shared" si="3"/>
        <v>36.296296296296298</v>
      </c>
      <c r="W17" s="136" t="s">
        <v>9</v>
      </c>
      <c r="X17" s="137">
        <f t="shared" si="3"/>
        <v>63.144329896907216</v>
      </c>
    </row>
    <row r="18" spans="1:33" x14ac:dyDescent="0.25">
      <c r="B18" s="84"/>
      <c r="C18" s="84"/>
      <c r="D18" s="84"/>
      <c r="E18" s="84"/>
      <c r="F18" s="84"/>
      <c r="G18" s="84"/>
      <c r="H18" s="84"/>
      <c r="I18" s="84"/>
    </row>
    <row r="19" spans="1:33" x14ac:dyDescent="0.25">
      <c r="C19" s="146"/>
      <c r="D19" s="146"/>
      <c r="E19" s="146"/>
      <c r="F19" s="146"/>
      <c r="G19" s="146"/>
      <c r="H19" s="146"/>
      <c r="I19" s="146"/>
      <c r="N19" s="262" t="s">
        <v>795</v>
      </c>
      <c r="O19" s="263"/>
      <c r="P19" s="263"/>
      <c r="Q19" s="263"/>
      <c r="R19" s="263"/>
      <c r="S19" s="263"/>
      <c r="T19" s="263"/>
      <c r="U19" s="263"/>
      <c r="V19" s="263"/>
      <c r="W19" s="263"/>
      <c r="X19" s="264"/>
    </row>
    <row r="20" spans="1:33" x14ac:dyDescent="0.25">
      <c r="M20" t="s">
        <v>126</v>
      </c>
      <c r="N20" s="120"/>
      <c r="O20" s="268" t="s">
        <v>74</v>
      </c>
      <c r="P20" s="269"/>
      <c r="Q20" s="268" t="s">
        <v>23</v>
      </c>
      <c r="R20" s="269"/>
      <c r="S20" s="268" t="s">
        <v>24</v>
      </c>
      <c r="T20" s="269"/>
      <c r="U20" s="268" t="s">
        <v>72</v>
      </c>
      <c r="V20" s="269"/>
      <c r="W20" s="268" t="s">
        <v>143</v>
      </c>
      <c r="X20" s="269"/>
      <c r="AG20" t="s">
        <v>126</v>
      </c>
    </row>
    <row r="21" spans="1:33" x14ac:dyDescent="0.25">
      <c r="N21" s="121" t="s">
        <v>51</v>
      </c>
      <c r="O21" s="115">
        <v>0</v>
      </c>
      <c r="P21" s="108">
        <f>SUMIFS('Staff Costs'!L:L,'Staff Costs'!B:B,'Summary Staff Costs'!N21,'Staff Costs'!A:A,"Management",'Staff Costs'!G:G,"Teacher/Trainer/Researcher")</f>
        <v>0</v>
      </c>
      <c r="Q21" s="115">
        <v>15</v>
      </c>
      <c r="R21" s="108">
        <f>SUMIFS('Staff Costs'!L:L,'Staff Costs'!B:B,'Summary Staff Costs'!N21,'Staff Costs'!A:A,"Preparation",'Staff Costs'!G:G,"Teacher/Trainer/Researcher")</f>
        <v>15</v>
      </c>
      <c r="S21" s="115">
        <v>220</v>
      </c>
      <c r="T21" s="108">
        <f>SUMIFS('Staff Costs'!L:L,'Staff Costs'!B:B,'Summary Staff Costs'!N21,'Staff Costs'!A:A,"Development",'Staff Costs'!G:G,"Teacher/Trainer/Researcher")</f>
        <v>210</v>
      </c>
      <c r="U21" s="115">
        <v>0</v>
      </c>
      <c r="V21" s="108">
        <f>SUMIFS('Staff Costs'!L:L,'Staff Costs'!B:B,'Summary Staff Costs'!N21,'Staff Costs'!A:A,"Quality Plan",'Staff Costs'!G:G,"Teacher/Trainer/Researcher")</f>
        <v>0</v>
      </c>
      <c r="W21" s="115">
        <v>0</v>
      </c>
      <c r="X21" s="108">
        <f>SUMIFS('Staff Costs'!L:L,'Staff Costs'!B:B,'Summary Staff Costs'!N21,'Staff Costs'!A:A,"Dissemination &amp; Exploitation",'Staff Costs'!G:G,"Teacher/Trainer/Researcher")</f>
        <v>0</v>
      </c>
    </row>
    <row r="22" spans="1:33" x14ac:dyDescent="0.25">
      <c r="N22" s="122" t="s">
        <v>52</v>
      </c>
      <c r="O22" s="116">
        <v>0</v>
      </c>
      <c r="P22" s="109">
        <f>SUMIFS('Staff Costs'!L:L,'Staff Costs'!B:B,'Summary Staff Costs'!N22,'Staff Costs'!A:A,"Management",'Staff Costs'!G:G,"Teacher/Trainer/Researcher")</f>
        <v>0</v>
      </c>
      <c r="Q22" s="116">
        <v>110</v>
      </c>
      <c r="R22" s="109">
        <f>SUMIFS('Staff Costs'!L:L,'Staff Costs'!B:B,'Summary Staff Costs'!N22,'Staff Costs'!A:A,"Preparation",'Staff Costs'!G:G,"Teacher/Trainer/Researcher")</f>
        <v>110</v>
      </c>
      <c r="S22" s="116">
        <v>215</v>
      </c>
      <c r="T22" s="109">
        <f>SUMIFS('Staff Costs'!L:L,'Staff Costs'!B:B,'Summary Staff Costs'!N22,'Staff Costs'!A:A,"Development",'Staff Costs'!G:G,"Teacher/Trainer/Researcher")</f>
        <v>190</v>
      </c>
      <c r="U22" s="116">
        <v>0</v>
      </c>
      <c r="V22" s="109">
        <f>SUMIFS('Staff Costs'!L:L,'Staff Costs'!B:B,'Summary Staff Costs'!N22,'Staff Costs'!A:A,"Quality Plan",'Staff Costs'!G:G,"Teacher/Trainer/Researcher")</f>
        <v>0</v>
      </c>
      <c r="W22" s="116">
        <v>0</v>
      </c>
      <c r="X22" s="109">
        <f>SUMIFS('Staff Costs'!L:L,'Staff Costs'!B:B,'Summary Staff Costs'!N22,'Staff Costs'!A:A,"Dissemination &amp; Exploitation",'Staff Costs'!G:G,"Teacher/Trainer/Researcher")</f>
        <v>0</v>
      </c>
    </row>
    <row r="23" spans="1:33" x14ac:dyDescent="0.25">
      <c r="N23" s="121" t="s">
        <v>53</v>
      </c>
      <c r="O23" s="115">
        <v>0</v>
      </c>
      <c r="P23" s="108">
        <f>SUMIFS('Staff Costs'!L:L,'Staff Costs'!B:B,'Summary Staff Costs'!N23,'Staff Costs'!A:A,"Management",'Staff Costs'!G:G,"Teacher/Trainer/Researcher")</f>
        <v>0</v>
      </c>
      <c r="Q23" s="115">
        <v>15</v>
      </c>
      <c r="R23" s="108">
        <f>SUMIFS('Staff Costs'!L:L,'Staff Costs'!B:B,'Summary Staff Costs'!N23,'Staff Costs'!A:A,"Preparation",'Staff Costs'!G:G,"Teacher/Trainer/Researcher")</f>
        <v>15</v>
      </c>
      <c r="S23" s="115">
        <v>151</v>
      </c>
      <c r="T23" s="108">
        <f>SUMIFS('Staff Costs'!L:L,'Staff Costs'!B:B,'Summary Staff Costs'!N23,'Staff Costs'!A:A,"Development",'Staff Costs'!G:G,"Teacher/Trainer/Researcher")</f>
        <v>89</v>
      </c>
      <c r="U23" s="115">
        <v>0</v>
      </c>
      <c r="V23" s="108">
        <f>SUMIFS('Staff Costs'!L:L,'Staff Costs'!B:B,'Summary Staff Costs'!N23,'Staff Costs'!A:A,"Quality Plan",'Staff Costs'!G:G,"Teacher/Trainer/Researcher")</f>
        <v>0</v>
      </c>
      <c r="W23" s="115">
        <v>0</v>
      </c>
      <c r="X23" s="108">
        <f>SUMIFS('Staff Costs'!L:L,'Staff Costs'!B:B,'Summary Staff Costs'!N23,'Staff Costs'!A:A,"Dissemination &amp; Exploitation",'Staff Costs'!G:G,"Teacher/Trainer/Researcher")</f>
        <v>0</v>
      </c>
    </row>
    <row r="24" spans="1:33" x14ac:dyDescent="0.25">
      <c r="N24" s="122" t="s">
        <v>54</v>
      </c>
      <c r="O24" s="116">
        <v>0</v>
      </c>
      <c r="P24" s="109">
        <f>SUMIFS('Staff Costs'!L:L,'Staff Costs'!B:B,'Summary Staff Costs'!N24,'Staff Costs'!A:A,"Management",'Staff Costs'!G:G,"Teacher/Trainer/Researcher")</f>
        <v>0</v>
      </c>
      <c r="Q24" s="116">
        <v>15</v>
      </c>
      <c r="R24" s="109">
        <f>SUMIFS('Staff Costs'!L:L,'Staff Costs'!B:B,'Summary Staff Costs'!N24,'Staff Costs'!A:A,"Preparation",'Staff Costs'!G:G,"Teacher/Trainer/Researcher")</f>
        <v>15</v>
      </c>
      <c r="S24" s="116">
        <v>118</v>
      </c>
      <c r="T24" s="109">
        <f>SUMIFS('Staff Costs'!L:L,'Staff Costs'!B:B,'Summary Staff Costs'!N24,'Staff Costs'!A:A,"Development",'Staff Costs'!G:G,"Teacher/Trainer/Researcher")</f>
        <v>110</v>
      </c>
      <c r="U24" s="116">
        <v>0</v>
      </c>
      <c r="V24" s="109">
        <f>SUMIFS('Staff Costs'!L:L,'Staff Costs'!B:B,'Summary Staff Costs'!N24,'Staff Costs'!A:A,"Quality Plan",'Staff Costs'!G:G,"Teacher/Trainer/Researcher")</f>
        <v>0</v>
      </c>
      <c r="W24" s="116">
        <v>0</v>
      </c>
      <c r="X24" s="109">
        <f>SUMIFS('Staff Costs'!L:L,'Staff Costs'!B:B,'Summary Staff Costs'!N24,'Staff Costs'!A:A,"Dissemination &amp; Exploitation",'Staff Costs'!G:G,"Teacher/Trainer/Researcher")</f>
        <v>0</v>
      </c>
    </row>
    <row r="25" spans="1:33" x14ac:dyDescent="0.25">
      <c r="N25" s="121" t="s">
        <v>55</v>
      </c>
      <c r="O25" s="115">
        <v>0</v>
      </c>
      <c r="P25" s="108">
        <f>SUMIFS('Staff Costs'!L:L,'Staff Costs'!B:B,'Summary Staff Costs'!N25,'Staff Costs'!A:A,"Management",'Staff Costs'!G:G,"Teacher/Trainer/Researcher")</f>
        <v>13</v>
      </c>
      <c r="Q25" s="115">
        <v>0</v>
      </c>
      <c r="R25" s="108">
        <f>SUMIFS('Staff Costs'!L:L,'Staff Costs'!B:B,'Summary Staff Costs'!N25,'Staff Costs'!A:A,"Preparation",'Staff Costs'!G:G,"Teacher/Trainer/Researcher")</f>
        <v>0</v>
      </c>
      <c r="S25" s="115">
        <v>145</v>
      </c>
      <c r="T25" s="108">
        <f>SUMIFS('Staff Costs'!L:L,'Staff Costs'!B:B,'Summary Staff Costs'!N25,'Staff Costs'!A:A,"Development",'Staff Costs'!G:G,"Teacher/Trainer/Researcher")</f>
        <v>72</v>
      </c>
      <c r="U25" s="115">
        <v>0</v>
      </c>
      <c r="V25" s="108">
        <f>SUMIFS('Staff Costs'!L:L,'Staff Costs'!B:B,'Summary Staff Costs'!N25,'Staff Costs'!A:A,"Quality Plan",'Staff Costs'!G:G,"Teacher/Trainer/Researcher")</f>
        <v>0</v>
      </c>
      <c r="W25" s="115">
        <v>0</v>
      </c>
      <c r="X25" s="108">
        <f>SUMIFS('Staff Costs'!L:L,'Staff Costs'!B:B,'Summary Staff Costs'!N25,'Staff Costs'!A:A,"Dissemination &amp; Exploitation",'Staff Costs'!G:G,"Teacher/Trainer/Researcher")</f>
        <v>0</v>
      </c>
    </row>
    <row r="26" spans="1:33" x14ac:dyDescent="0.25">
      <c r="N26" s="122" t="s">
        <v>56</v>
      </c>
      <c r="O26" s="116">
        <v>0</v>
      </c>
      <c r="P26" s="109">
        <f>SUMIFS('Staff Costs'!L:L,'Staff Costs'!B:B,'Summary Staff Costs'!N26,'Staff Costs'!A:A,"Management",'Staff Costs'!G:G,"Teacher/Trainer/Researcher")</f>
        <v>3</v>
      </c>
      <c r="Q26" s="116">
        <v>0</v>
      </c>
      <c r="R26" s="109">
        <f>SUMIFS('Staff Costs'!L:L,'Staff Costs'!B:B,'Summary Staff Costs'!N26,'Staff Costs'!A:A,"Preparation",'Staff Costs'!G:G,"Teacher/Trainer/Researcher")</f>
        <v>5</v>
      </c>
      <c r="S26" s="116">
        <v>50</v>
      </c>
      <c r="T26" s="109">
        <f>SUMIFS('Staff Costs'!L:L,'Staff Costs'!B:B,'Summary Staff Costs'!N26,'Staff Costs'!A:A,"Development",'Staff Costs'!G:G,"Teacher/Trainer/Researcher")</f>
        <v>12</v>
      </c>
      <c r="U26" s="116">
        <v>0</v>
      </c>
      <c r="V26" s="109">
        <f>SUMIFS('Staff Costs'!L:L,'Staff Costs'!B:B,'Summary Staff Costs'!N26,'Staff Costs'!A:A,"Quality Plan",'Staff Costs'!G:G,"Teacher/Trainer/Researcher")</f>
        <v>0</v>
      </c>
      <c r="W26" s="116">
        <v>0</v>
      </c>
      <c r="X26" s="109">
        <f>SUMIFS('Staff Costs'!L:L,'Staff Costs'!B:B,'Summary Staff Costs'!N26,'Staff Costs'!A:A,"Dissemination &amp; Exploitation",'Staff Costs'!G:G,"Teacher/Trainer/Researcher")</f>
        <v>10</v>
      </c>
    </row>
    <row r="27" spans="1:33" x14ac:dyDescent="0.25">
      <c r="N27" s="121" t="s">
        <v>57</v>
      </c>
      <c r="O27" s="115">
        <v>0</v>
      </c>
      <c r="P27" s="108">
        <f>SUMIFS('Staff Costs'!L:L,'Staff Costs'!B:B,'Summary Staff Costs'!N27,'Staff Costs'!A:A,"Management",'Staff Costs'!G:G,"Teacher/Trainer/Researcher")</f>
        <v>0</v>
      </c>
      <c r="Q27" s="115">
        <v>0</v>
      </c>
      <c r="R27" s="108">
        <f>SUMIFS('Staff Costs'!L:L,'Staff Costs'!B:B,'Summary Staff Costs'!N27,'Staff Costs'!A:A,"Preparation",'Staff Costs'!G:G,"Teacher/Trainer/Researcher")</f>
        <v>0</v>
      </c>
      <c r="S27" s="115">
        <v>55</v>
      </c>
      <c r="T27" s="108">
        <f>SUMIFS('Staff Costs'!L:L,'Staff Costs'!B:B,'Summary Staff Costs'!N27,'Staff Costs'!A:A,"Development",'Staff Costs'!G:G,"Teacher/Trainer/Researcher")</f>
        <v>0</v>
      </c>
      <c r="U27" s="115">
        <v>0</v>
      </c>
      <c r="V27" s="108">
        <f>SUMIFS('Staff Costs'!L:L,'Staff Costs'!B:B,'Summary Staff Costs'!N27,'Staff Costs'!A:A,"Quality Plan",'Staff Costs'!G:G,"Teacher/Trainer/Researcher")</f>
        <v>0</v>
      </c>
      <c r="W27" s="115">
        <v>0</v>
      </c>
      <c r="X27" s="108">
        <f>SUMIFS('Staff Costs'!L:L,'Staff Costs'!B:B,'Summary Staff Costs'!N27,'Staff Costs'!A:A,"Dissemination &amp; Exploitation",'Staff Costs'!G:G,"Teacher/Trainer/Researcher")</f>
        <v>0</v>
      </c>
    </row>
    <row r="28" spans="1:33" x14ac:dyDescent="0.25">
      <c r="N28" s="122" t="s">
        <v>58</v>
      </c>
      <c r="O28" s="116">
        <v>0</v>
      </c>
      <c r="P28" s="109">
        <f>SUMIFS('Staff Costs'!L:L,'Staff Costs'!B:B,'Summary Staff Costs'!N28,'Staff Costs'!A:A,"Management",'Staff Costs'!G:G,"Teacher/Trainer/Researcher")</f>
        <v>0</v>
      </c>
      <c r="Q28" s="116">
        <v>0</v>
      </c>
      <c r="R28" s="109">
        <f>SUMIFS('Staff Costs'!L:L,'Staff Costs'!B:B,'Summary Staff Costs'!N28,'Staff Costs'!A:A,"Preparation",'Staff Costs'!G:G,"Teacher/Trainer/Researcher")</f>
        <v>0</v>
      </c>
      <c r="S28" s="116">
        <v>55</v>
      </c>
      <c r="T28" s="109">
        <f>SUMIFS('Staff Costs'!L:L,'Staff Costs'!B:B,'Summary Staff Costs'!N28,'Staff Costs'!A:A,"Development",'Staff Costs'!G:G,"Teacher/Trainer/Researcher")</f>
        <v>0</v>
      </c>
      <c r="U28" s="116">
        <v>0</v>
      </c>
      <c r="V28" s="109">
        <f>SUMIFS('Staff Costs'!L:L,'Staff Costs'!B:B,'Summary Staff Costs'!N28,'Staff Costs'!A:A,"Quality Plan",'Staff Costs'!G:G,"Teacher/Trainer/Researcher")</f>
        <v>0</v>
      </c>
      <c r="W28" s="116">
        <v>0</v>
      </c>
      <c r="X28" s="109">
        <f>SUMIFS('Staff Costs'!L:L,'Staff Costs'!B:B,'Summary Staff Costs'!N28,'Staff Costs'!A:A,"Dissemination &amp; Exploitation",'Staff Costs'!G:G,"Teacher/Trainer/Researcher")</f>
        <v>0</v>
      </c>
    </row>
    <row r="29" spans="1:33" x14ac:dyDescent="0.25">
      <c r="N29" s="121" t="s">
        <v>59</v>
      </c>
      <c r="O29" s="115">
        <v>0</v>
      </c>
      <c r="P29" s="108">
        <f>SUMIFS('Staff Costs'!L:L,'Staff Costs'!B:B,'Summary Staff Costs'!N29,'Staff Costs'!A:A,"Management",'Staff Costs'!G:G,"Teacher/Trainer/Researcher")</f>
        <v>0</v>
      </c>
      <c r="Q29" s="115">
        <v>0</v>
      </c>
      <c r="R29" s="108">
        <f>SUMIFS('Staff Costs'!L:L,'Staff Costs'!B:B,'Summary Staff Costs'!N29,'Staff Costs'!A:A,"Preparation",'Staff Costs'!G:G,"Teacher/Trainer/Researcher")</f>
        <v>0</v>
      </c>
      <c r="S29" s="115">
        <v>60</v>
      </c>
      <c r="T29" s="108">
        <f>SUMIFS('Staff Costs'!L:L,'Staff Costs'!B:B,'Summary Staff Costs'!N29,'Staff Costs'!A:A,"Development",'Staff Costs'!G:G,"Teacher/Trainer/Researcher")</f>
        <v>40</v>
      </c>
      <c r="U29" s="115">
        <v>0</v>
      </c>
      <c r="V29" s="108">
        <f>SUMIFS('Staff Costs'!L:L,'Staff Costs'!B:B,'Summary Staff Costs'!N29,'Staff Costs'!A:A,"Quality Plan",'Staff Costs'!G:G,"Teacher/Trainer/Researcher")</f>
        <v>0</v>
      </c>
      <c r="W29" s="115">
        <v>0</v>
      </c>
      <c r="X29" s="108">
        <f>SUMIFS('Staff Costs'!L:L,'Staff Costs'!B:B,'Summary Staff Costs'!N29,'Staff Costs'!A:A,"Dissemination &amp; Exploitation",'Staff Costs'!G:G,"Teacher/Trainer/Researcher")</f>
        <v>0</v>
      </c>
    </row>
    <row r="30" spans="1:33" x14ac:dyDescent="0.25">
      <c r="N30" s="122" t="s">
        <v>60</v>
      </c>
      <c r="O30" s="116">
        <v>0</v>
      </c>
      <c r="P30" s="109">
        <f>SUMIFS('Staff Costs'!L:L,'Staff Costs'!B:B,'Summary Staff Costs'!N30,'Staff Costs'!A:A,"Management",'Staff Costs'!G:G,"Teacher/Trainer/Researcher")</f>
        <v>0</v>
      </c>
      <c r="Q30" s="116">
        <v>0</v>
      </c>
      <c r="R30" s="109">
        <f>SUMIFS('Staff Costs'!L:L,'Staff Costs'!B:B,'Summary Staff Costs'!N30,'Staff Costs'!A:A,"Preparation",'Staff Costs'!G:G,"Teacher/Trainer/Researcher")</f>
        <v>0</v>
      </c>
      <c r="S30" s="116">
        <v>55</v>
      </c>
      <c r="T30" s="109">
        <f>SUMIFS('Staff Costs'!L:L,'Staff Costs'!B:B,'Summary Staff Costs'!N30,'Staff Costs'!A:A,"Development",'Staff Costs'!G:G,"Teacher/Trainer/Researcher")</f>
        <v>30</v>
      </c>
      <c r="U30" s="116">
        <v>0</v>
      </c>
      <c r="V30" s="109">
        <f>SUMIFS('Staff Costs'!L:L,'Staff Costs'!B:B,'Summary Staff Costs'!N30,'Staff Costs'!A:A,"Quality Plan",'Staff Costs'!G:G,"Teacher/Trainer/Researcher")</f>
        <v>0</v>
      </c>
      <c r="W30" s="116">
        <v>0</v>
      </c>
      <c r="X30" s="109">
        <f>SUMIFS('Staff Costs'!L:L,'Staff Costs'!B:B,'Summary Staff Costs'!N30,'Staff Costs'!A:A,"Dissemination &amp; Exploitation",'Staff Costs'!G:G,"Teacher/Trainer/Researcher")</f>
        <v>0</v>
      </c>
    </row>
    <row r="31" spans="1:33" x14ac:dyDescent="0.25">
      <c r="N31" s="121" t="s">
        <v>61</v>
      </c>
      <c r="O31" s="115">
        <v>0</v>
      </c>
      <c r="P31" s="108">
        <f>SUMIFS('Staff Costs'!L:L,'Staff Costs'!B:B,'Summary Staff Costs'!N31,'Staff Costs'!A:A,"Management",'Staff Costs'!G:G,"Teacher/Trainer/Researcher")</f>
        <v>0</v>
      </c>
      <c r="Q31" s="115">
        <v>0</v>
      </c>
      <c r="R31" s="108">
        <f>SUMIFS('Staff Costs'!L:L,'Staff Costs'!B:B,'Summary Staff Costs'!N31,'Staff Costs'!A:A,"Preparation",'Staff Costs'!G:G,"Teacher/Trainer/Researcher")</f>
        <v>0</v>
      </c>
      <c r="S31" s="115">
        <v>55</v>
      </c>
      <c r="T31" s="108">
        <f>SUMIFS('Staff Costs'!L:L,'Staff Costs'!B:B,'Summary Staff Costs'!N31,'Staff Costs'!A:A,"Development",'Staff Costs'!G:G,"Teacher/Trainer/Researcher")</f>
        <v>27</v>
      </c>
      <c r="U31" s="115">
        <v>0</v>
      </c>
      <c r="V31" s="108">
        <f>SUMIFS('Staff Costs'!L:L,'Staff Costs'!B:B,'Summary Staff Costs'!N31,'Staff Costs'!A:A,"Quality Plan",'Staff Costs'!G:G,"Teacher/Trainer/Researcher")</f>
        <v>0</v>
      </c>
      <c r="W31" s="115">
        <v>0</v>
      </c>
      <c r="X31" s="108">
        <f>SUMIFS('Staff Costs'!L:L,'Staff Costs'!B:B,'Summary Staff Costs'!N31,'Staff Costs'!A:A,"Dissemination &amp; Exploitation",'Staff Costs'!G:G,"Teacher/Trainer/Researcher")</f>
        <v>0</v>
      </c>
    </row>
    <row r="32" spans="1:33" x14ac:dyDescent="0.25">
      <c r="N32" s="122" t="s">
        <v>62</v>
      </c>
      <c r="O32" s="116">
        <v>0</v>
      </c>
      <c r="P32" s="109">
        <f>SUMIFS('Staff Costs'!L:L,'Staff Costs'!B:B,'Summary Staff Costs'!N32,'Staff Costs'!A:A,"Management",'Staff Costs'!G:G,"Teacher/Trainer/Researcher")</f>
        <v>0</v>
      </c>
      <c r="Q32" s="116">
        <v>0</v>
      </c>
      <c r="R32" s="109">
        <f>SUMIFS('Staff Costs'!L:L,'Staff Costs'!B:B,'Summary Staff Costs'!N32,'Staff Costs'!A:A,"Preparation",'Staff Costs'!G:G,"Teacher/Trainer/Researcher")</f>
        <v>0</v>
      </c>
      <c r="S32" s="116">
        <v>0</v>
      </c>
      <c r="T32" s="109">
        <f>SUMIFS('Staff Costs'!L:L,'Staff Costs'!B:B,'Summary Staff Costs'!N32,'Staff Costs'!A:A,"Development",'Staff Costs'!G:G,"Teacher/Trainer/Researcher")</f>
        <v>0</v>
      </c>
      <c r="U32" s="116">
        <v>0</v>
      </c>
      <c r="V32" s="109">
        <f>SUMIFS('Staff Costs'!L:L,'Staff Costs'!B:B,'Summary Staff Costs'!N32,'Staff Costs'!A:A,"Quality Plan",'Staff Costs'!G:G,"Teacher/Trainer/Researcher")</f>
        <v>0</v>
      </c>
      <c r="W32" s="116">
        <v>0</v>
      </c>
      <c r="X32" s="109">
        <f>SUMIFS('Staff Costs'!L:L,'Staff Costs'!B:B,'Summary Staff Costs'!N32,'Staff Costs'!A:A,"Dissemination &amp; Exploitation",'Staff Costs'!G:G,"Teacher/Trainer/Researcher")</f>
        <v>0</v>
      </c>
    </row>
    <row r="33" spans="14:24" x14ac:dyDescent="0.25">
      <c r="N33" s="121" t="s">
        <v>86</v>
      </c>
      <c r="O33" s="115">
        <v>0</v>
      </c>
      <c r="P33" s="108">
        <f>SUMIFS('Staff Costs'!L:L,'Staff Costs'!B:B,'Summary Staff Costs'!N33,'Staff Costs'!A:A,"Management",'Staff Costs'!G:G,"Teacher/Trainer/Researcher")</f>
        <v>0</v>
      </c>
      <c r="Q33" s="115">
        <v>0</v>
      </c>
      <c r="R33" s="108">
        <f>SUMIFS('Staff Costs'!L:L,'Staff Costs'!B:B,'Summary Staff Costs'!N33,'Staff Costs'!A:A,"Preparation",'Staff Costs'!G:G,"Teacher/Trainer/Researcher")</f>
        <v>0</v>
      </c>
      <c r="S33" s="115">
        <v>0</v>
      </c>
      <c r="T33" s="108">
        <f>SUMIFS('Staff Costs'!L:L,'Staff Costs'!B:B,'Summary Staff Costs'!N33,'Staff Costs'!A:A,"Development",'Staff Costs'!G:G,"Teacher/Trainer/Researcher")</f>
        <v>0</v>
      </c>
      <c r="U33" s="115">
        <v>0</v>
      </c>
      <c r="V33" s="108">
        <f>SUMIFS('Staff Costs'!L:L,'Staff Costs'!B:B,'Summary Staff Costs'!N33,'Staff Costs'!A:A,"Quality Plan",'Staff Costs'!G:G,"Teacher/Trainer/Researcher")</f>
        <v>0</v>
      </c>
      <c r="W33" s="115">
        <v>0</v>
      </c>
      <c r="X33" s="108">
        <f>SUMIFS('Staff Costs'!L:L,'Staff Costs'!B:B,'Summary Staff Costs'!N33,'Staff Costs'!A:A,"Dissemination &amp; Exploitation",'Staff Costs'!G:G,"Teacher/Trainer/Researcher")</f>
        <v>0</v>
      </c>
    </row>
    <row r="34" spans="14:24" ht="15.75" thickBot="1" x14ac:dyDescent="0.3">
      <c r="N34" s="123" t="s">
        <v>113</v>
      </c>
      <c r="O34" s="117">
        <v>0</v>
      </c>
      <c r="P34" s="110">
        <f>SUMIFS('Staff Costs'!L:L,'Staff Costs'!B:B,'Summary Staff Costs'!N34,'Staff Costs'!A:A,"Management",'Staff Costs'!G:G,"Teacher/Trainer/Researcher")</f>
        <v>0</v>
      </c>
      <c r="Q34" s="117">
        <v>0</v>
      </c>
      <c r="R34" s="110">
        <f>SUMIFS('Staff Costs'!L:L,'Staff Costs'!B:B,'Summary Staff Costs'!N34,'Staff Costs'!A:A,"Preparation",'Staff Costs'!G:G,"Teacher/Trainer/Researcher")</f>
        <v>0</v>
      </c>
      <c r="S34" s="117">
        <v>0</v>
      </c>
      <c r="T34" s="110">
        <f>SUMIFS('Staff Costs'!L:L,'Staff Costs'!B:B,'Summary Staff Costs'!N34,'Staff Costs'!A:A,"Development",'Staff Costs'!G:G,"Teacher/Trainer/Researcher")</f>
        <v>0</v>
      </c>
      <c r="U34" s="117">
        <v>0</v>
      </c>
      <c r="V34" s="110">
        <f>SUMIFS('Staff Costs'!L:L,'Staff Costs'!B:B,'Summary Staff Costs'!N34,'Staff Costs'!A:A,"Quality Plan",'Staff Costs'!G:G,"Teacher/Trainer/Researcher")</f>
        <v>0</v>
      </c>
      <c r="W34" s="117">
        <v>0</v>
      </c>
      <c r="X34" s="110">
        <f>SUMIFS('Staff Costs'!L:L,'Staff Costs'!B:B,'Summary Staff Costs'!N34,'Staff Costs'!A:A,"Dissemination &amp; Exploitation",'Staff Costs'!G:G,"Teacher/Trainer/Researcher")</f>
        <v>0</v>
      </c>
    </row>
    <row r="35" spans="14:24" ht="16.5" thickTop="1" thickBot="1" x14ac:dyDescent="0.3">
      <c r="N35" s="140"/>
      <c r="O35" s="141">
        <f t="shared" ref="O35:X35" si="4">SUM(O21:O34)</f>
        <v>0</v>
      </c>
      <c r="P35" s="143">
        <f t="shared" si="4"/>
        <v>16</v>
      </c>
      <c r="Q35" s="141">
        <f t="shared" si="4"/>
        <v>155</v>
      </c>
      <c r="R35" s="143">
        <f t="shared" si="4"/>
        <v>160</v>
      </c>
      <c r="S35" s="141">
        <f t="shared" si="4"/>
        <v>1179</v>
      </c>
      <c r="T35" s="143">
        <f t="shared" si="4"/>
        <v>780</v>
      </c>
      <c r="U35" s="141">
        <f t="shared" si="4"/>
        <v>0</v>
      </c>
      <c r="V35" s="143">
        <f t="shared" si="4"/>
        <v>0</v>
      </c>
      <c r="W35" s="142">
        <f t="shared" si="4"/>
        <v>0</v>
      </c>
      <c r="X35" s="143">
        <f t="shared" si="4"/>
        <v>10</v>
      </c>
    </row>
    <row r="37" spans="14:24" x14ac:dyDescent="0.25">
      <c r="N37" s="262" t="s">
        <v>796</v>
      </c>
      <c r="O37" s="263"/>
      <c r="P37" s="263"/>
      <c r="Q37" s="263"/>
      <c r="R37" s="263"/>
      <c r="S37" s="263"/>
      <c r="T37" s="263"/>
      <c r="U37" s="263"/>
      <c r="V37" s="263"/>
      <c r="W37" s="263"/>
      <c r="X37" s="264"/>
    </row>
    <row r="38" spans="14:24" x14ac:dyDescent="0.25">
      <c r="N38" s="120"/>
      <c r="O38" s="268" t="s">
        <v>74</v>
      </c>
      <c r="P38" s="269"/>
      <c r="Q38" s="268" t="s">
        <v>23</v>
      </c>
      <c r="R38" s="269"/>
      <c r="S38" s="268" t="s">
        <v>24</v>
      </c>
      <c r="T38" s="269"/>
      <c r="U38" s="268" t="s">
        <v>72</v>
      </c>
      <c r="V38" s="269"/>
      <c r="W38" s="268" t="s">
        <v>143</v>
      </c>
      <c r="X38" s="269"/>
    </row>
    <row r="39" spans="14:24" x14ac:dyDescent="0.25">
      <c r="N39" s="121" t="s">
        <v>51</v>
      </c>
      <c r="O39" s="115">
        <v>75</v>
      </c>
      <c r="P39" s="108">
        <f>SUMIFS('Staff Costs'!L:L,'Staff Costs'!B:B,'Summary Staff Costs'!N39,'Staff Costs'!A:A,"Management",'Staff Costs'!G:G,"Manager")</f>
        <v>67</v>
      </c>
      <c r="Q39" s="115">
        <v>35</v>
      </c>
      <c r="R39" s="108">
        <f>SUMIFS('Staff Costs'!L:L,'Staff Costs'!B:B,'Summary Staff Costs'!N39,'Staff Costs'!A:A,"Preparation",'Staff Costs'!G:G,"Manager")</f>
        <v>35</v>
      </c>
      <c r="S39" s="115">
        <v>20</v>
      </c>
      <c r="T39" s="108">
        <f>SUMIFS('Staff Costs'!L:L,'Staff Costs'!B:B,'Summary Staff Costs'!N39,'Staff Costs'!A:A,"Development",'Staff Costs'!G:G,"Manager")</f>
        <v>8</v>
      </c>
      <c r="U39" s="115">
        <v>60</v>
      </c>
      <c r="V39" s="108">
        <f>SUMIFS('Staff Costs'!L:L,'Staff Costs'!B:B,'Summary Staff Costs'!N39,'Staff Costs'!A:A,"Quality Plan",'Staff Costs'!G:G,"Manager")</f>
        <v>31</v>
      </c>
      <c r="W39" s="115">
        <v>0</v>
      </c>
      <c r="X39" s="108">
        <f>SUMIFS('Staff Costs'!L:L,'Staff Costs'!B:B,'Summary Staff Costs'!N39,'Staff Costs'!A:A,"Dissemination &amp; Exploitation",'Staff Costs'!G:G,"Manager")</f>
        <v>0</v>
      </c>
    </row>
    <row r="40" spans="14:24" x14ac:dyDescent="0.25">
      <c r="N40" s="122" t="s">
        <v>52</v>
      </c>
      <c r="O40" s="116">
        <v>0</v>
      </c>
      <c r="P40" s="109">
        <f>SUMIFS('Staff Costs'!L:L,'Staff Costs'!B:B,'Summary Staff Costs'!N40,'Staff Costs'!A:A,"Management",'Staff Costs'!G:G,"Manager")</f>
        <v>0</v>
      </c>
      <c r="Q40" s="116">
        <v>5</v>
      </c>
      <c r="R40" s="109">
        <f>SUMIFS('Staff Costs'!L:L,'Staff Costs'!B:B,'Summary Staff Costs'!N40,'Staff Costs'!A:A,"Preparation",'Staff Costs'!G:G,"Manager")</f>
        <v>5</v>
      </c>
      <c r="S40" s="116">
        <v>0</v>
      </c>
      <c r="T40" s="109">
        <f>SUMIFS('Staff Costs'!L:L,'Staff Costs'!B:B,'Summary Staff Costs'!N40,'Staff Costs'!A:A,"Development",'Staff Costs'!G:G,"Manager")</f>
        <v>2</v>
      </c>
      <c r="U40" s="116">
        <v>30</v>
      </c>
      <c r="V40" s="109">
        <f>SUMIFS('Staff Costs'!L:L,'Staff Costs'!B:B,'Summary Staff Costs'!N40,'Staff Costs'!A:A,"Quality Plan",'Staff Costs'!G:G,"Manager")</f>
        <v>18</v>
      </c>
      <c r="W40" s="116">
        <v>0</v>
      </c>
      <c r="X40" s="109">
        <f>SUMIFS('Staff Costs'!L:L,'Staff Costs'!B:B,'Summary Staff Costs'!N40,'Staff Costs'!A:A,"Dissemination &amp; Exploitation",'Staff Costs'!G:G,"Manager")</f>
        <v>0</v>
      </c>
    </row>
    <row r="41" spans="14:24" x14ac:dyDescent="0.25">
      <c r="N41" s="121" t="s">
        <v>53</v>
      </c>
      <c r="O41" s="115">
        <v>45</v>
      </c>
      <c r="P41" s="108">
        <f>SUMIFS('Staff Costs'!L:L,'Staff Costs'!B:B,'Summary Staff Costs'!N41,'Staff Costs'!A:A,"Management",'Staff Costs'!G:G,"Manager")</f>
        <v>44</v>
      </c>
      <c r="Q41" s="115">
        <v>5</v>
      </c>
      <c r="R41" s="108">
        <f>SUMIFS('Staff Costs'!L:L,'Staff Costs'!B:B,'Summary Staff Costs'!N41,'Staff Costs'!A:A,"Preparation",'Staff Costs'!G:G,"Manager")</f>
        <v>0</v>
      </c>
      <c r="S41" s="115">
        <v>10</v>
      </c>
      <c r="T41" s="108">
        <f>SUMIFS('Staff Costs'!L:L,'Staff Costs'!B:B,'Summary Staff Costs'!N41,'Staff Costs'!A:A,"Development",'Staff Costs'!G:G,"Manager")</f>
        <v>0</v>
      </c>
      <c r="U41" s="115">
        <v>30</v>
      </c>
      <c r="V41" s="108">
        <f>SUMIFS('Staff Costs'!L:L,'Staff Costs'!B:B,'Summary Staff Costs'!N41,'Staff Costs'!A:A,"Quality Plan",'Staff Costs'!G:G,"Manager")</f>
        <v>12</v>
      </c>
      <c r="W41" s="115">
        <v>0</v>
      </c>
      <c r="X41" s="108">
        <f>SUMIFS('Staff Costs'!L:L,'Staff Costs'!B:B,'Summary Staff Costs'!N41,'Staff Costs'!A:A,"Dissemination &amp; Exploitation",'Staff Costs'!G:G,"Manager")</f>
        <v>0</v>
      </c>
    </row>
    <row r="42" spans="14:24" x14ac:dyDescent="0.25">
      <c r="N42" s="122" t="s">
        <v>54</v>
      </c>
      <c r="O42" s="116">
        <v>45</v>
      </c>
      <c r="P42" s="109">
        <f>SUMIFS('Staff Costs'!L:L,'Staff Costs'!B:B,'Summary Staff Costs'!N42,'Staff Costs'!A:A,"Management",'Staff Costs'!G:G,"Manager")</f>
        <v>27</v>
      </c>
      <c r="Q42" s="116">
        <v>5</v>
      </c>
      <c r="R42" s="109">
        <f>SUMIFS('Staff Costs'!L:L,'Staff Costs'!B:B,'Summary Staff Costs'!N42,'Staff Costs'!A:A,"Preparation",'Staff Costs'!G:G,"Manager")</f>
        <v>5</v>
      </c>
      <c r="S42" s="116">
        <v>0</v>
      </c>
      <c r="T42" s="109">
        <f>SUMIFS('Staff Costs'!L:L,'Staff Costs'!B:B,'Summary Staff Costs'!N42,'Staff Costs'!A:A,"Development",'Staff Costs'!G:G,"Manager")</f>
        <v>0</v>
      </c>
      <c r="U42" s="116">
        <v>30</v>
      </c>
      <c r="V42" s="109">
        <f>SUMIFS('Staff Costs'!L:L,'Staff Costs'!B:B,'Summary Staff Costs'!N42,'Staff Costs'!A:A,"Quality Plan",'Staff Costs'!G:G,"Manager")</f>
        <v>18</v>
      </c>
      <c r="W42" s="116">
        <v>0</v>
      </c>
      <c r="X42" s="109">
        <f>SUMIFS('Staff Costs'!L:L,'Staff Costs'!B:B,'Summary Staff Costs'!N42,'Staff Costs'!A:A,"Dissemination &amp; Exploitation",'Staff Costs'!G:G,"Manager")</f>
        <v>0</v>
      </c>
    </row>
    <row r="43" spans="14:24" x14ac:dyDescent="0.25">
      <c r="N43" s="121" t="s">
        <v>55</v>
      </c>
      <c r="O43" s="115">
        <v>40</v>
      </c>
      <c r="P43" s="108">
        <f>SUMIFS('Staff Costs'!L:L,'Staff Costs'!B:B,'Summary Staff Costs'!N43,'Staff Costs'!A:A,"Management",'Staff Costs'!G:G,"Manager")</f>
        <v>50</v>
      </c>
      <c r="Q43" s="115">
        <v>5</v>
      </c>
      <c r="R43" s="108">
        <f>SUMIFS('Staff Costs'!L:L,'Staff Costs'!B:B,'Summary Staff Costs'!N43,'Staff Costs'!A:A,"Preparation",'Staff Costs'!G:G,"Manager")</f>
        <v>5</v>
      </c>
      <c r="S43" s="115">
        <v>0</v>
      </c>
      <c r="T43" s="108">
        <f>SUMIFS('Staff Costs'!L:L,'Staff Costs'!B:B,'Summary Staff Costs'!N43,'Staff Costs'!A:A,"Development",'Staff Costs'!G:G,"Manager")</f>
        <v>13</v>
      </c>
      <c r="U43" s="115">
        <v>30</v>
      </c>
      <c r="V43" s="108">
        <f>SUMIFS('Staff Costs'!L:L,'Staff Costs'!B:B,'Summary Staff Costs'!N43,'Staff Costs'!A:A,"Quality Plan",'Staff Costs'!G:G,"Manager")</f>
        <v>5</v>
      </c>
      <c r="W43" s="115">
        <v>0</v>
      </c>
      <c r="X43" s="108">
        <f>SUMIFS('Staff Costs'!L:L,'Staff Costs'!B:B,'Summary Staff Costs'!N43,'Staff Costs'!A:A,"Dissemination &amp; Exploitation",'Staff Costs'!G:G,"Manager")</f>
        <v>0</v>
      </c>
    </row>
    <row r="44" spans="14:24" x14ac:dyDescent="0.25">
      <c r="N44" s="122" t="s">
        <v>56</v>
      </c>
      <c r="O44" s="116">
        <v>40</v>
      </c>
      <c r="P44" s="109">
        <f>SUMIFS('Staff Costs'!L:L,'Staff Costs'!B:B,'Summary Staff Costs'!N44,'Staff Costs'!A:A,"Management",'Staff Costs'!G:G,"Manager")</f>
        <v>22</v>
      </c>
      <c r="Q44" s="116">
        <v>5</v>
      </c>
      <c r="R44" s="109">
        <f>SUMIFS('Staff Costs'!L:L,'Staff Costs'!B:B,'Summary Staff Costs'!N44,'Staff Costs'!A:A,"Preparation",'Staff Costs'!G:G,"Manager")</f>
        <v>22</v>
      </c>
      <c r="S44" s="116">
        <v>10</v>
      </c>
      <c r="T44" s="109">
        <f>SUMIFS('Staff Costs'!L:L,'Staff Costs'!B:B,'Summary Staff Costs'!N44,'Staff Costs'!A:A,"Development",'Staff Costs'!G:G,"Manager")</f>
        <v>27</v>
      </c>
      <c r="U44" s="116">
        <v>30</v>
      </c>
      <c r="V44" s="109">
        <f>SUMIFS('Staff Costs'!L:L,'Staff Costs'!B:B,'Summary Staff Costs'!N44,'Staff Costs'!A:A,"Quality Plan",'Staff Costs'!G:G,"Manager")</f>
        <v>5</v>
      </c>
      <c r="W44" s="116">
        <v>80</v>
      </c>
      <c r="X44" s="109">
        <f>SUMIFS('Staff Costs'!L:L,'Staff Costs'!B:B,'Summary Staff Costs'!N44,'Staff Costs'!A:A,"Dissemination &amp; Exploitation",'Staff Costs'!G:G,"Manager")</f>
        <v>52</v>
      </c>
    </row>
    <row r="45" spans="14:24" x14ac:dyDescent="0.25">
      <c r="N45" s="121" t="s">
        <v>57</v>
      </c>
      <c r="O45" s="115">
        <v>25</v>
      </c>
      <c r="P45" s="108">
        <f>SUMIFS('Staff Costs'!L:L,'Staff Costs'!B:B,'Summary Staff Costs'!N45,'Staff Costs'!A:A,"Management",'Staff Costs'!G:G,"Manager")</f>
        <v>22</v>
      </c>
      <c r="Q45" s="115">
        <v>5</v>
      </c>
      <c r="R45" s="108">
        <f>SUMIFS('Staff Costs'!L:L,'Staff Costs'!B:B,'Summary Staff Costs'!N45,'Staff Costs'!A:A,"Preparation",'Staff Costs'!G:G,"Manager")</f>
        <v>4</v>
      </c>
      <c r="S45" s="115">
        <v>0</v>
      </c>
      <c r="T45" s="108">
        <f>SUMIFS('Staff Costs'!L:L,'Staff Costs'!B:B,'Summary Staff Costs'!N45,'Staff Costs'!A:A,"Development",'Staff Costs'!G:G,"Manager")</f>
        <v>23</v>
      </c>
      <c r="U45" s="115">
        <v>30</v>
      </c>
      <c r="V45" s="108">
        <f>SUMIFS('Staff Costs'!L:L,'Staff Costs'!B:B,'Summary Staff Costs'!N45,'Staff Costs'!A:A,"Quality Plan",'Staff Costs'!G:G,"Manager")</f>
        <v>2</v>
      </c>
      <c r="W45" s="115">
        <v>0</v>
      </c>
      <c r="X45" s="108">
        <f>SUMIFS('Staff Costs'!L:L,'Staff Costs'!B:B,'Summary Staff Costs'!N45,'Staff Costs'!A:A,"Dissemination &amp; Exploitation",'Staff Costs'!G:G,"Manager")</f>
        <v>15</v>
      </c>
    </row>
    <row r="46" spans="14:24" x14ac:dyDescent="0.25">
      <c r="N46" s="122" t="s">
        <v>58</v>
      </c>
      <c r="O46" s="116">
        <v>25</v>
      </c>
      <c r="P46" s="109">
        <f>SUMIFS('Staff Costs'!L:L,'Staff Costs'!B:B,'Summary Staff Costs'!N46,'Staff Costs'!A:A,"Management",'Staff Costs'!G:G,"Manager")</f>
        <v>29</v>
      </c>
      <c r="Q46" s="116">
        <v>5</v>
      </c>
      <c r="R46" s="109">
        <f>SUMIFS('Staff Costs'!L:L,'Staff Costs'!B:B,'Summary Staff Costs'!N46,'Staff Costs'!A:A,"Preparation",'Staff Costs'!G:G,"Manager")</f>
        <v>4</v>
      </c>
      <c r="S46" s="116">
        <v>0</v>
      </c>
      <c r="T46" s="109">
        <f>SUMIFS('Staff Costs'!L:L,'Staff Costs'!B:B,'Summary Staff Costs'!N46,'Staff Costs'!A:A,"Development",'Staff Costs'!G:G,"Manager")</f>
        <v>10</v>
      </c>
      <c r="U46" s="116">
        <v>30</v>
      </c>
      <c r="V46" s="109">
        <f>SUMIFS('Staff Costs'!L:L,'Staff Costs'!B:B,'Summary Staff Costs'!N46,'Staff Costs'!A:A,"Quality Plan",'Staff Costs'!G:G,"Manager")</f>
        <v>2</v>
      </c>
      <c r="W46" s="116">
        <v>0</v>
      </c>
      <c r="X46" s="109">
        <f>SUMIFS('Staff Costs'!L:L,'Staff Costs'!B:B,'Summary Staff Costs'!N46,'Staff Costs'!A:A,"Dissemination &amp; Exploitation",'Staff Costs'!G:G,"Manager")</f>
        <v>11</v>
      </c>
    </row>
    <row r="47" spans="14:24" x14ac:dyDescent="0.25">
      <c r="N47" s="121" t="s">
        <v>59</v>
      </c>
      <c r="O47" s="115">
        <v>40</v>
      </c>
      <c r="P47" s="108">
        <f>SUMIFS('Staff Costs'!L:L,'Staff Costs'!B:B,'Summary Staff Costs'!N47,'Staff Costs'!A:A,"Management",'Staff Costs'!G:G,"Manager")</f>
        <v>22</v>
      </c>
      <c r="Q47" s="115">
        <v>5</v>
      </c>
      <c r="R47" s="108">
        <f>SUMIFS('Staff Costs'!L:L,'Staff Costs'!B:B,'Summary Staff Costs'!N47,'Staff Costs'!A:A,"Preparation",'Staff Costs'!G:G,"Manager")</f>
        <v>5</v>
      </c>
      <c r="S47" s="115">
        <v>25</v>
      </c>
      <c r="T47" s="108">
        <f>SUMIFS('Staff Costs'!L:L,'Staff Costs'!B:B,'Summary Staff Costs'!N47,'Staff Costs'!A:A,"Development",'Staff Costs'!G:G,"Manager")</f>
        <v>22</v>
      </c>
      <c r="U47" s="115">
        <v>30</v>
      </c>
      <c r="V47" s="108">
        <f>SUMIFS('Staff Costs'!L:L,'Staff Costs'!B:B,'Summary Staff Costs'!N47,'Staff Costs'!A:A,"Quality Plan",'Staff Costs'!G:G,"Manager")</f>
        <v>17</v>
      </c>
      <c r="W47" s="115">
        <v>0</v>
      </c>
      <c r="X47" s="108">
        <f>SUMIFS('Staff Costs'!L:L,'Staff Costs'!B:B,'Summary Staff Costs'!N47,'Staff Costs'!A:A,"Dissemination &amp; Exploitation",'Staff Costs'!G:G,"Manager")</f>
        <v>0</v>
      </c>
    </row>
    <row r="48" spans="14:24" x14ac:dyDescent="0.25">
      <c r="N48" s="122" t="s">
        <v>60</v>
      </c>
      <c r="O48" s="116">
        <v>40</v>
      </c>
      <c r="P48" s="109">
        <f>SUMIFS('Staff Costs'!L:L,'Staff Costs'!B:B,'Summary Staff Costs'!N48,'Staff Costs'!A:A,"Management",'Staff Costs'!G:G,"Manager")</f>
        <v>26</v>
      </c>
      <c r="Q48" s="116">
        <v>5</v>
      </c>
      <c r="R48" s="109">
        <f>SUMIFS('Staff Costs'!L:L,'Staff Costs'!B:B,'Summary Staff Costs'!N48,'Staff Costs'!A:A,"Preparation",'Staff Costs'!G:G,"Manager")</f>
        <v>5</v>
      </c>
      <c r="S48" s="116">
        <v>0</v>
      </c>
      <c r="T48" s="109">
        <f>SUMIFS('Staff Costs'!L:L,'Staff Costs'!B:B,'Summary Staff Costs'!N48,'Staff Costs'!A:A,"Development",'Staff Costs'!G:G,"Manager")</f>
        <v>0</v>
      </c>
      <c r="U48" s="116">
        <v>30</v>
      </c>
      <c r="V48" s="109">
        <f>SUMIFS('Staff Costs'!L:L,'Staff Costs'!B:B,'Summary Staff Costs'!N48,'Staff Costs'!A:A,"Quality Plan",'Staff Costs'!G:G,"Manager")</f>
        <v>3</v>
      </c>
      <c r="W48" s="116">
        <v>0</v>
      </c>
      <c r="X48" s="109">
        <f>SUMIFS('Staff Costs'!L:L,'Staff Costs'!B:B,'Summary Staff Costs'!N48,'Staff Costs'!A:A,"Dissemination &amp; Exploitation",'Staff Costs'!G:G,"Manager")</f>
        <v>0</v>
      </c>
    </row>
    <row r="49" spans="14:24" x14ac:dyDescent="0.25">
      <c r="N49" s="121" t="s">
        <v>61</v>
      </c>
      <c r="O49" s="115">
        <v>40</v>
      </c>
      <c r="P49" s="108">
        <f>SUMIFS('Staff Costs'!L:L,'Staff Costs'!B:B,'Summary Staff Costs'!N49,'Staff Costs'!A:A,"Management",'Staff Costs'!G:G,"Manager")</f>
        <v>38</v>
      </c>
      <c r="Q49" s="115">
        <v>5</v>
      </c>
      <c r="R49" s="108">
        <f>SUMIFS('Staff Costs'!L:L,'Staff Costs'!B:B,'Summary Staff Costs'!N49,'Staff Costs'!A:A,"Preparation",'Staff Costs'!G:G,"Manager")</f>
        <v>4</v>
      </c>
      <c r="S49" s="115">
        <v>30</v>
      </c>
      <c r="T49" s="108">
        <f>SUMIFS('Staff Costs'!L:L,'Staff Costs'!B:B,'Summary Staff Costs'!N49,'Staff Costs'!A:A,"Development",'Staff Costs'!G:G,"Manager")</f>
        <v>18</v>
      </c>
      <c r="U49" s="115">
        <v>30</v>
      </c>
      <c r="V49" s="108">
        <f>SUMIFS('Staff Costs'!L:L,'Staff Costs'!B:B,'Summary Staff Costs'!N49,'Staff Costs'!A:A,"Quality Plan",'Staff Costs'!G:G,"Manager")</f>
        <v>8</v>
      </c>
      <c r="W49" s="115">
        <v>0</v>
      </c>
      <c r="X49" s="108">
        <f>SUMIFS('Staff Costs'!L:L,'Staff Costs'!B:B,'Summary Staff Costs'!N49,'Staff Costs'!A:A,"Dissemination &amp; Exploitation",'Staff Costs'!G:G,"Manager")</f>
        <v>5</v>
      </c>
    </row>
    <row r="50" spans="14:24" x14ac:dyDescent="0.25">
      <c r="N50" s="122" t="s">
        <v>62</v>
      </c>
      <c r="O50" s="116">
        <v>0</v>
      </c>
      <c r="P50" s="109">
        <f>SUMIFS('Staff Costs'!L:L,'Staff Costs'!B:B,'Summary Staff Costs'!N50,'Staff Costs'!A:A,"Management",'Staff Costs'!G:G,"Manager")</f>
        <v>1</v>
      </c>
      <c r="Q50" s="116">
        <v>0</v>
      </c>
      <c r="R50" s="109">
        <f>SUMIFS('Staff Costs'!L:L,'Staff Costs'!B:B,'Summary Staff Costs'!N50,'Staff Costs'!A:A,"Preparation",'Staff Costs'!G:G,"Manager")</f>
        <v>3</v>
      </c>
      <c r="S50" s="116">
        <v>15</v>
      </c>
      <c r="T50" s="109">
        <f>SUMIFS('Staff Costs'!L:L,'Staff Costs'!B:B,'Summary Staff Costs'!N50,'Staff Costs'!A:A,"Development",'Staff Costs'!G:G,"Manager")</f>
        <v>3</v>
      </c>
      <c r="U50" s="116">
        <v>0</v>
      </c>
      <c r="V50" s="109">
        <f>SUMIFS('Staff Costs'!L:L,'Staff Costs'!B:B,'Summary Staff Costs'!N50,'Staff Costs'!A:A,"Quality Plan",'Staff Costs'!G:G,"Manager")</f>
        <v>0</v>
      </c>
      <c r="W50" s="116">
        <v>0</v>
      </c>
      <c r="X50" s="109">
        <f>SUMIFS('Staff Costs'!L:L,'Staff Costs'!B:B,'Summary Staff Costs'!N50,'Staff Costs'!A:A,"Dissemination &amp; Exploitation",'Staff Costs'!G:G,"Manager")</f>
        <v>5</v>
      </c>
    </row>
    <row r="51" spans="14:24" x14ac:dyDescent="0.25">
      <c r="N51" s="121" t="s">
        <v>86</v>
      </c>
      <c r="O51" s="115">
        <v>0</v>
      </c>
      <c r="P51" s="108">
        <f>SUMIFS('Staff Costs'!L:L,'Staff Costs'!B:B,'Summary Staff Costs'!N51,'Staff Costs'!A:A,"Management",'Staff Costs'!G:G,"Manager")</f>
        <v>0</v>
      </c>
      <c r="Q51" s="115">
        <v>0</v>
      </c>
      <c r="R51" s="108">
        <f>SUMIFS('Staff Costs'!L:L,'Staff Costs'!B:B,'Summary Staff Costs'!N51,'Staff Costs'!A:A,"Preparation",'Staff Costs'!G:G,"Manager")</f>
        <v>0</v>
      </c>
      <c r="S51" s="115">
        <v>10</v>
      </c>
      <c r="T51" s="108">
        <f>SUMIFS('Staff Costs'!L:L,'Staff Costs'!B:B,'Summary Staff Costs'!N51,'Staff Costs'!A:A,"Development",'Staff Costs'!G:G,"Manager")</f>
        <v>0</v>
      </c>
      <c r="U51" s="115">
        <v>0</v>
      </c>
      <c r="V51" s="108">
        <f>SUMIFS('Staff Costs'!L:L,'Staff Costs'!B:B,'Summary Staff Costs'!N51,'Staff Costs'!A:A,"Quality Plan",'Staff Costs'!G:G,"Manager")</f>
        <v>0</v>
      </c>
      <c r="W51" s="115">
        <v>0</v>
      </c>
      <c r="X51" s="108">
        <f>SUMIFS('Staff Costs'!L:L,'Staff Costs'!B:B,'Summary Staff Costs'!N51,'Staff Costs'!A:A,"Dissemination &amp; Exploitation",'Staff Costs'!G:G,"Manager")</f>
        <v>0</v>
      </c>
    </row>
    <row r="52" spans="14:24" ht="15.75" thickBot="1" x14ac:dyDescent="0.3">
      <c r="N52" s="123" t="s">
        <v>113</v>
      </c>
      <c r="O52" s="117">
        <v>0</v>
      </c>
      <c r="P52" s="110">
        <f>SUMIFS('Staff Costs'!L:L,'Staff Costs'!B:B,'Summary Staff Costs'!N52,'Staff Costs'!A:A,"Management",'Staff Costs'!G:G,"Manager")</f>
        <v>0</v>
      </c>
      <c r="Q52" s="117">
        <v>0</v>
      </c>
      <c r="R52" s="110">
        <f>SUMIFS('Staff Costs'!L:L,'Staff Costs'!B:B,'Summary Staff Costs'!N52,'Staff Costs'!A:A,"Preparation",'Staff Costs'!G:G,"Manager")</f>
        <v>0</v>
      </c>
      <c r="S52" s="117">
        <v>10</v>
      </c>
      <c r="T52" s="110">
        <f>SUMIFS('Staff Costs'!L:L,'Staff Costs'!B:B,'Summary Staff Costs'!N52,'Staff Costs'!A:A,"Development",'Staff Costs'!G:G,"Manager")</f>
        <v>0</v>
      </c>
      <c r="U52" s="117">
        <v>0</v>
      </c>
      <c r="V52" s="110">
        <f>SUMIFS('Staff Costs'!L:L,'Staff Costs'!B:B,'Summary Staff Costs'!N52,'Staff Costs'!A:A,"Quality Plan",'Staff Costs'!G:G,"Manager")</f>
        <v>0</v>
      </c>
      <c r="W52" s="117">
        <v>0</v>
      </c>
      <c r="X52" s="110">
        <f>SUMIFS('Staff Costs'!L:L,'Staff Costs'!B:B,'Summary Staff Costs'!N52,'Staff Costs'!A:A,"Dissemination &amp; Exploitation",'Staff Costs'!G:G,"Manager")</f>
        <v>0</v>
      </c>
    </row>
    <row r="53" spans="14:24" ht="16.5" thickTop="1" thickBot="1" x14ac:dyDescent="0.3">
      <c r="N53" s="140"/>
      <c r="O53" s="141">
        <f t="shared" ref="O53:X53" si="5">SUM(O39:O52)</f>
        <v>415</v>
      </c>
      <c r="P53" s="143">
        <f t="shared" si="5"/>
        <v>348</v>
      </c>
      <c r="Q53" s="141">
        <f t="shared" si="5"/>
        <v>85</v>
      </c>
      <c r="R53" s="143">
        <f t="shared" si="5"/>
        <v>97</v>
      </c>
      <c r="S53" s="141">
        <f t="shared" si="5"/>
        <v>130</v>
      </c>
      <c r="T53" s="143">
        <f t="shared" si="5"/>
        <v>126</v>
      </c>
      <c r="U53" s="141">
        <f t="shared" si="5"/>
        <v>360</v>
      </c>
      <c r="V53" s="143">
        <f t="shared" si="5"/>
        <v>121</v>
      </c>
      <c r="W53" s="142">
        <f t="shared" si="5"/>
        <v>80</v>
      </c>
      <c r="X53" s="143">
        <f t="shared" si="5"/>
        <v>88</v>
      </c>
    </row>
    <row r="55" spans="14:24" x14ac:dyDescent="0.25">
      <c r="N55" s="262" t="s">
        <v>797</v>
      </c>
      <c r="O55" s="263"/>
      <c r="P55" s="263"/>
      <c r="Q55" s="263"/>
      <c r="R55" s="263"/>
      <c r="S55" s="263"/>
      <c r="T55" s="263"/>
      <c r="U55" s="263"/>
      <c r="V55" s="263"/>
      <c r="W55" s="263"/>
      <c r="X55" s="264"/>
    </row>
    <row r="56" spans="14:24" x14ac:dyDescent="0.25">
      <c r="N56" s="120"/>
      <c r="O56" s="268" t="s">
        <v>74</v>
      </c>
      <c r="P56" s="269"/>
      <c r="Q56" s="268" t="s">
        <v>23</v>
      </c>
      <c r="R56" s="269"/>
      <c r="S56" s="268" t="s">
        <v>24</v>
      </c>
      <c r="T56" s="269"/>
      <c r="U56" s="268" t="s">
        <v>72</v>
      </c>
      <c r="V56" s="269"/>
      <c r="W56" s="268" t="s">
        <v>143</v>
      </c>
      <c r="X56" s="269"/>
    </row>
    <row r="57" spans="14:24" x14ac:dyDescent="0.25">
      <c r="N57" s="121" t="s">
        <v>51</v>
      </c>
      <c r="O57" s="115">
        <v>0</v>
      </c>
      <c r="P57" s="108">
        <f>SUMIFS('Staff Costs'!L:L,'Staff Costs'!B:B,'Summary Staff Costs'!N57,'Staff Costs'!A:A,"Management",'Staff Costs'!G:G,"Technical Staff")</f>
        <v>0</v>
      </c>
      <c r="Q57" s="115">
        <v>10</v>
      </c>
      <c r="R57" s="108">
        <f>SUMIFS('Staff Costs'!L:L,'Staff Costs'!B:B,'Summary Staff Costs'!N57,'Staff Costs'!A:A,"Preparation",'Staff Costs'!G:G,"Technical Staff")</f>
        <v>10</v>
      </c>
      <c r="S57" s="115">
        <v>0</v>
      </c>
      <c r="T57" s="108">
        <f>SUMIFS('Staff Costs'!L:L,'Staff Costs'!B:B,'Summary Staff Costs'!N57,'Staff Costs'!A:A,"Development",'Staff Costs'!G:G,"Technical Staff")</f>
        <v>0</v>
      </c>
      <c r="U57" s="115">
        <v>0</v>
      </c>
      <c r="V57" s="108">
        <f>SUMIFS('Staff Costs'!L:L,'Staff Costs'!B:B,'Summary Staff Costs'!N57,'Staff Costs'!A:A,"Quality Plan",'Staff Costs'!G:G,"Technical Staff")</f>
        <v>0</v>
      </c>
      <c r="W57" s="115">
        <v>0</v>
      </c>
      <c r="X57" s="108">
        <f>SUMIFS('Staff Costs'!L:L,'Staff Costs'!B:B,'Summary Staff Costs'!N57,'Staff Costs'!A:A,"Dissemination &amp; Exploitation",'Staff Costs'!G:G,"Technical Staff")</f>
        <v>0</v>
      </c>
    </row>
    <row r="58" spans="14:24" x14ac:dyDescent="0.25">
      <c r="N58" s="122" t="s">
        <v>52</v>
      </c>
      <c r="O58" s="116">
        <v>0</v>
      </c>
      <c r="P58" s="109">
        <f>SUMIFS('Staff Costs'!L:L,'Staff Costs'!B:B,'Summary Staff Costs'!N58,'Staff Costs'!A:A,"Management",'Staff Costs'!G:G,"Technical Staff")</f>
        <v>0</v>
      </c>
      <c r="Q58" s="116">
        <v>0</v>
      </c>
      <c r="R58" s="109">
        <f>SUMIFS('Staff Costs'!L:L,'Staff Costs'!B:B,'Summary Staff Costs'!N58,'Staff Costs'!A:A,"Preparation",'Staff Costs'!G:G,"Technical Staff")</f>
        <v>0</v>
      </c>
      <c r="S58" s="116">
        <v>0</v>
      </c>
      <c r="T58" s="109">
        <f>SUMIFS('Staff Costs'!L:L,'Staff Costs'!B:B,'Summary Staff Costs'!N58,'Staff Costs'!A:A,"Development",'Staff Costs'!G:G,"Technical Staff")</f>
        <v>0</v>
      </c>
      <c r="U58" s="116">
        <v>0</v>
      </c>
      <c r="V58" s="109">
        <f>SUMIFS('Staff Costs'!L:L,'Staff Costs'!B:B,'Summary Staff Costs'!N58,'Staff Costs'!A:A,"Quality Plan",'Staff Costs'!G:G,"Technical Staff")</f>
        <v>0</v>
      </c>
      <c r="W58" s="116">
        <v>0</v>
      </c>
      <c r="X58" s="109">
        <f>SUMIFS('Staff Costs'!L:L,'Staff Costs'!B:B,'Summary Staff Costs'!N58,'Staff Costs'!A:A,"Dissemination &amp; Exploitation",'Staff Costs'!G:G,"Technical Staff")</f>
        <v>0</v>
      </c>
    </row>
    <row r="59" spans="14:24" x14ac:dyDescent="0.25">
      <c r="N59" s="121" t="s">
        <v>53</v>
      </c>
      <c r="O59" s="115">
        <v>0</v>
      </c>
      <c r="P59" s="108">
        <f>SUMIFS('Staff Costs'!L:L,'Staff Costs'!B:B,'Summary Staff Costs'!N59,'Staff Costs'!A:A,"Management",'Staff Costs'!G:G,"Technical Staff")</f>
        <v>0</v>
      </c>
      <c r="Q59" s="115">
        <v>0</v>
      </c>
      <c r="R59" s="108">
        <f>SUMIFS('Staff Costs'!L:L,'Staff Costs'!B:B,'Summary Staff Costs'!N59,'Staff Costs'!A:A,"Preparation",'Staff Costs'!G:G,"Technical Staff")</f>
        <v>0</v>
      </c>
      <c r="S59" s="115">
        <v>0</v>
      </c>
      <c r="T59" s="108">
        <f>SUMIFS('Staff Costs'!L:L,'Staff Costs'!B:B,'Summary Staff Costs'!N59,'Staff Costs'!A:A,"Development",'Staff Costs'!G:G,"Technical Staff")</f>
        <v>0</v>
      </c>
      <c r="U59" s="115">
        <v>0</v>
      </c>
      <c r="V59" s="108">
        <f>SUMIFS('Staff Costs'!L:L,'Staff Costs'!B:B,'Summary Staff Costs'!N59,'Staff Costs'!A:A,"Quality Plan",'Staff Costs'!G:G,"Technical Staff")</f>
        <v>0</v>
      </c>
      <c r="W59" s="115">
        <v>0</v>
      </c>
      <c r="X59" s="108">
        <f>SUMIFS('Staff Costs'!L:L,'Staff Costs'!B:B,'Summary Staff Costs'!N59,'Staff Costs'!A:A,"Dissemination &amp; Exploitation",'Staff Costs'!G:G,"Technical Staff")</f>
        <v>0</v>
      </c>
    </row>
    <row r="60" spans="14:24" x14ac:dyDescent="0.25">
      <c r="N60" s="122" t="s">
        <v>54</v>
      </c>
      <c r="O60" s="116">
        <v>0</v>
      </c>
      <c r="P60" s="109">
        <f>SUMIFS('Staff Costs'!L:L,'Staff Costs'!B:B,'Summary Staff Costs'!N60,'Staff Costs'!A:A,"Management",'Staff Costs'!G:G,"Technical Staff")</f>
        <v>0</v>
      </c>
      <c r="Q60" s="116">
        <v>0</v>
      </c>
      <c r="R60" s="109">
        <f>SUMIFS('Staff Costs'!L:L,'Staff Costs'!B:B,'Summary Staff Costs'!N60,'Staff Costs'!A:A,"Preparation",'Staff Costs'!G:G,"Technical Staff")</f>
        <v>0</v>
      </c>
      <c r="S60" s="116">
        <v>0</v>
      </c>
      <c r="T60" s="109">
        <f>SUMIFS('Staff Costs'!L:L,'Staff Costs'!B:B,'Summary Staff Costs'!N60,'Staff Costs'!A:A,"Development",'Staff Costs'!G:G,"Technical Staff")</f>
        <v>0</v>
      </c>
      <c r="U60" s="116">
        <v>0</v>
      </c>
      <c r="V60" s="109">
        <f>SUMIFS('Staff Costs'!L:L,'Staff Costs'!B:B,'Summary Staff Costs'!N60,'Staff Costs'!A:A,"Quality Plan",'Staff Costs'!G:G,"Technical Staff")</f>
        <v>0</v>
      </c>
      <c r="W60" s="116">
        <v>20</v>
      </c>
      <c r="X60" s="109">
        <f>SUMIFS('Staff Costs'!L:L,'Staff Costs'!B:B,'Summary Staff Costs'!N60,'Staff Costs'!A:A,"Dissemination &amp; Exploitation",'Staff Costs'!G:G,"Technical Staff")</f>
        <v>15</v>
      </c>
    </row>
    <row r="61" spans="14:24" x14ac:dyDescent="0.25">
      <c r="N61" s="121" t="s">
        <v>55</v>
      </c>
      <c r="O61" s="115">
        <v>0</v>
      </c>
      <c r="P61" s="108">
        <f>SUMIFS('Staff Costs'!L:L,'Staff Costs'!B:B,'Summary Staff Costs'!N61,'Staff Costs'!A:A,"Management",'Staff Costs'!G:G,"Technical Staff")</f>
        <v>0</v>
      </c>
      <c r="Q61" s="115">
        <v>0</v>
      </c>
      <c r="R61" s="108">
        <f>SUMIFS('Staff Costs'!L:L,'Staff Costs'!B:B,'Summary Staff Costs'!N61,'Staff Costs'!A:A,"Preparation",'Staff Costs'!G:G,"Technical Staff")</f>
        <v>0</v>
      </c>
      <c r="S61" s="115">
        <v>0</v>
      </c>
      <c r="T61" s="108">
        <f>SUMIFS('Staff Costs'!L:L,'Staff Costs'!B:B,'Summary Staff Costs'!N61,'Staff Costs'!A:A,"Development",'Staff Costs'!G:G,"Technical Staff")</f>
        <v>0</v>
      </c>
      <c r="U61" s="115">
        <v>0</v>
      </c>
      <c r="V61" s="108">
        <f>SUMIFS('Staff Costs'!L:L,'Staff Costs'!B:B,'Summary Staff Costs'!N61,'Staff Costs'!A:A,"Quality Plan",'Staff Costs'!G:G,"Technical Staff")</f>
        <v>0</v>
      </c>
      <c r="W61" s="115">
        <v>0</v>
      </c>
      <c r="X61" s="108">
        <f>SUMIFS('Staff Costs'!L:L,'Staff Costs'!B:B,'Summary Staff Costs'!N61,'Staff Costs'!A:A,"Dissemination &amp; Exploitation",'Staff Costs'!G:G,"Technical Staff")</f>
        <v>0</v>
      </c>
    </row>
    <row r="62" spans="14:24" x14ac:dyDescent="0.25">
      <c r="N62" s="122" t="s">
        <v>56</v>
      </c>
      <c r="O62" s="116">
        <v>0</v>
      </c>
      <c r="P62" s="109">
        <f>SUMIFS('Staff Costs'!L:L,'Staff Costs'!B:B,'Summary Staff Costs'!N62,'Staff Costs'!A:A,"Management",'Staff Costs'!G:G,"Technical Staff")</f>
        <v>27</v>
      </c>
      <c r="Q62" s="116">
        <v>0</v>
      </c>
      <c r="R62" s="109">
        <f>SUMIFS('Staff Costs'!L:L,'Staff Costs'!B:B,'Summary Staff Costs'!N62,'Staff Costs'!A:A,"Preparation",'Staff Costs'!G:G,"Technical Staff")</f>
        <v>13</v>
      </c>
      <c r="S62" s="116">
        <v>0</v>
      </c>
      <c r="T62" s="109">
        <f>SUMIFS('Staff Costs'!L:L,'Staff Costs'!B:B,'Summary Staff Costs'!N62,'Staff Costs'!A:A,"Development",'Staff Costs'!G:G,"Technical Staff")</f>
        <v>16</v>
      </c>
      <c r="U62" s="116">
        <v>0</v>
      </c>
      <c r="V62" s="109">
        <f>SUMIFS('Staff Costs'!L:L,'Staff Costs'!B:B,'Summary Staff Costs'!N62,'Staff Costs'!A:A,"Quality Plan",'Staff Costs'!G:G,"Technical Staff")</f>
        <v>0</v>
      </c>
      <c r="W62" s="116">
        <v>120</v>
      </c>
      <c r="X62" s="109">
        <f>SUMIFS('Staff Costs'!L:L,'Staff Costs'!B:B,'Summary Staff Costs'!N62,'Staff Costs'!A:A,"Dissemination &amp; Exploitation",'Staff Costs'!G:G,"Technical Staff")</f>
        <v>34</v>
      </c>
    </row>
    <row r="63" spans="14:24" x14ac:dyDescent="0.25">
      <c r="N63" s="121" t="s">
        <v>57</v>
      </c>
      <c r="O63" s="115">
        <v>0</v>
      </c>
      <c r="P63" s="108">
        <f>SUMIFS('Staff Costs'!L:L,'Staff Costs'!B:B,'Summary Staff Costs'!N63,'Staff Costs'!A:A,"Management",'Staff Costs'!G:G,"Technical Staff")</f>
        <v>0</v>
      </c>
      <c r="Q63" s="115">
        <v>0</v>
      </c>
      <c r="R63" s="108">
        <f>SUMIFS('Staff Costs'!L:L,'Staff Costs'!B:B,'Summary Staff Costs'!N63,'Staff Costs'!A:A,"Preparation",'Staff Costs'!G:G,"Technical Staff")</f>
        <v>0</v>
      </c>
      <c r="S63" s="115">
        <v>0</v>
      </c>
      <c r="T63" s="108">
        <f>SUMIFS('Staff Costs'!L:L,'Staff Costs'!B:B,'Summary Staff Costs'!N63,'Staff Costs'!A:A,"Development",'Staff Costs'!G:G,"Technical Staff")</f>
        <v>0</v>
      </c>
      <c r="U63" s="115">
        <v>0</v>
      </c>
      <c r="V63" s="108">
        <f>SUMIFS('Staff Costs'!L:L,'Staff Costs'!B:B,'Summary Staff Costs'!N63,'Staff Costs'!A:A,"Quality Plan",'Staff Costs'!G:G,"Technical Staff")</f>
        <v>0</v>
      </c>
      <c r="W63" s="115">
        <v>0</v>
      </c>
      <c r="X63" s="108">
        <f>SUMIFS('Staff Costs'!L:L,'Staff Costs'!B:B,'Summary Staff Costs'!N63,'Staff Costs'!A:A,"Dissemination &amp; Exploitation",'Staff Costs'!G:G,"Technical Staff")</f>
        <v>0</v>
      </c>
    </row>
    <row r="64" spans="14:24" x14ac:dyDescent="0.25">
      <c r="N64" s="122" t="s">
        <v>58</v>
      </c>
      <c r="O64" s="116">
        <v>0</v>
      </c>
      <c r="P64" s="109">
        <f>SUMIFS('Staff Costs'!L:L,'Staff Costs'!B:B,'Summary Staff Costs'!N64,'Staff Costs'!A:A,"Management",'Staff Costs'!G:G,"Technical Staff")</f>
        <v>0</v>
      </c>
      <c r="Q64" s="116">
        <v>0</v>
      </c>
      <c r="R64" s="109">
        <f>SUMIFS('Staff Costs'!L:L,'Staff Costs'!B:B,'Summary Staff Costs'!N64,'Staff Costs'!A:A,"Preparation",'Staff Costs'!G:G,"Technical Staff")</f>
        <v>0</v>
      </c>
      <c r="S64" s="116">
        <v>0</v>
      </c>
      <c r="T64" s="109">
        <f>SUMIFS('Staff Costs'!L:L,'Staff Costs'!B:B,'Summary Staff Costs'!N64,'Staff Costs'!A:A,"Development",'Staff Costs'!G:G,"Technical Staff")</f>
        <v>0</v>
      </c>
      <c r="U64" s="116">
        <v>0</v>
      </c>
      <c r="V64" s="109">
        <f>SUMIFS('Staff Costs'!L:L,'Staff Costs'!B:B,'Summary Staff Costs'!N64,'Staff Costs'!A:A,"Quality Plan",'Staff Costs'!G:G,"Technical Staff")</f>
        <v>0</v>
      </c>
      <c r="W64" s="116">
        <v>0</v>
      </c>
      <c r="X64" s="109">
        <f>SUMIFS('Staff Costs'!L:L,'Staff Costs'!B:B,'Summary Staff Costs'!N64,'Staff Costs'!A:A,"Dissemination &amp; Exploitation",'Staff Costs'!G:G,"Technical Staff")</f>
        <v>0</v>
      </c>
    </row>
    <row r="65" spans="14:24" x14ac:dyDescent="0.25">
      <c r="N65" s="121" t="s">
        <v>59</v>
      </c>
      <c r="O65" s="115">
        <v>0</v>
      </c>
      <c r="P65" s="108">
        <f>SUMIFS('Staff Costs'!L:L,'Staff Costs'!B:B,'Summary Staff Costs'!N65,'Staff Costs'!A:A,"Management",'Staff Costs'!G:G,"Technical Staff")</f>
        <v>0</v>
      </c>
      <c r="Q65" s="115">
        <v>0</v>
      </c>
      <c r="R65" s="108">
        <f>SUMIFS('Staff Costs'!L:L,'Staff Costs'!B:B,'Summary Staff Costs'!N65,'Staff Costs'!A:A,"Preparation",'Staff Costs'!G:G,"Technical Staff")</f>
        <v>0</v>
      </c>
      <c r="S65" s="115">
        <v>0</v>
      </c>
      <c r="T65" s="108">
        <f>SUMIFS('Staff Costs'!L:L,'Staff Costs'!B:B,'Summary Staff Costs'!N65,'Staff Costs'!A:A,"Development",'Staff Costs'!G:G,"Technical Staff")</f>
        <v>0</v>
      </c>
      <c r="U65" s="115">
        <v>0</v>
      </c>
      <c r="V65" s="108">
        <f>SUMIFS('Staff Costs'!L:L,'Staff Costs'!B:B,'Summary Staff Costs'!N65,'Staff Costs'!A:A,"Quality Plan",'Staff Costs'!G:G,"Technical Staff")</f>
        <v>0</v>
      </c>
      <c r="W65" s="115">
        <v>0</v>
      </c>
      <c r="X65" s="108">
        <f>SUMIFS('Staff Costs'!L:L,'Staff Costs'!B:B,'Summary Staff Costs'!N65,'Staff Costs'!A:A,"Dissemination &amp; Exploitation",'Staff Costs'!G:G,"Technical Staff")</f>
        <v>0</v>
      </c>
    </row>
    <row r="66" spans="14:24" x14ac:dyDescent="0.25">
      <c r="N66" s="122" t="s">
        <v>60</v>
      </c>
      <c r="O66" s="116">
        <v>0</v>
      </c>
      <c r="P66" s="109">
        <f>SUMIFS('Staff Costs'!L:L,'Staff Costs'!B:B,'Summary Staff Costs'!N66,'Staff Costs'!A:A,"Management",'Staff Costs'!G:G,"Technical Staff")</f>
        <v>0</v>
      </c>
      <c r="Q66" s="116">
        <v>0</v>
      </c>
      <c r="R66" s="109">
        <f>SUMIFS('Staff Costs'!L:L,'Staff Costs'!B:B,'Summary Staff Costs'!N66,'Staff Costs'!A:A,"Preparation",'Staff Costs'!G:G,"Technical Staff")</f>
        <v>0</v>
      </c>
      <c r="S66" s="116">
        <v>0</v>
      </c>
      <c r="T66" s="109">
        <f>SUMIFS('Staff Costs'!L:L,'Staff Costs'!B:B,'Summary Staff Costs'!N66,'Staff Costs'!A:A,"Development",'Staff Costs'!G:G,"Technical Staff")</f>
        <v>0</v>
      </c>
      <c r="U66" s="116">
        <v>0</v>
      </c>
      <c r="V66" s="109">
        <f>SUMIFS('Staff Costs'!L:L,'Staff Costs'!B:B,'Summary Staff Costs'!N66,'Staff Costs'!A:A,"Quality Plan",'Staff Costs'!G:G,"Technical Staff")</f>
        <v>0</v>
      </c>
      <c r="W66" s="116">
        <v>0</v>
      </c>
      <c r="X66" s="109">
        <f>SUMIFS('Staff Costs'!L:L,'Staff Costs'!B:B,'Summary Staff Costs'!N66,'Staff Costs'!A:A,"Dissemination &amp; Exploitation",'Staff Costs'!G:G,"Technical Staff")</f>
        <v>0</v>
      </c>
    </row>
    <row r="67" spans="14:24" x14ac:dyDescent="0.25">
      <c r="N67" s="121" t="s">
        <v>61</v>
      </c>
      <c r="O67" s="115">
        <v>0</v>
      </c>
      <c r="P67" s="108">
        <f>SUMIFS('Staff Costs'!L:L,'Staff Costs'!B:B,'Summary Staff Costs'!N67,'Staff Costs'!A:A,"Management",'Staff Costs'!G:G,"Technical Staff")</f>
        <v>0</v>
      </c>
      <c r="Q67" s="115">
        <v>0</v>
      </c>
      <c r="R67" s="108">
        <f>SUMIFS('Staff Costs'!L:L,'Staff Costs'!B:B,'Summary Staff Costs'!N67,'Staff Costs'!A:A,"Preparation",'Staff Costs'!G:G,"Technical Staff")</f>
        <v>0</v>
      </c>
      <c r="S67" s="115">
        <v>0</v>
      </c>
      <c r="T67" s="108">
        <f>SUMIFS('Staff Costs'!L:L,'Staff Costs'!B:B,'Summary Staff Costs'!N67,'Staff Costs'!A:A,"Development",'Staff Costs'!G:G,"Technical Staff")</f>
        <v>0</v>
      </c>
      <c r="U67" s="115">
        <v>0</v>
      </c>
      <c r="V67" s="108">
        <f>SUMIFS('Staff Costs'!L:L,'Staff Costs'!B:B,'Summary Staff Costs'!N67,'Staff Costs'!A:A,"Quality Plan",'Staff Costs'!G:G,"Technical Staff")</f>
        <v>0</v>
      </c>
      <c r="W67" s="115">
        <v>0</v>
      </c>
      <c r="X67" s="108">
        <f>SUMIFS('Staff Costs'!L:L,'Staff Costs'!B:B,'Summary Staff Costs'!N67,'Staff Costs'!A:A,"Dissemination &amp; Exploitation",'Staff Costs'!G:G,"Technical Staff")</f>
        <v>0</v>
      </c>
    </row>
    <row r="68" spans="14:24" x14ac:dyDescent="0.25">
      <c r="N68" s="122" t="s">
        <v>62</v>
      </c>
      <c r="O68" s="116">
        <v>0</v>
      </c>
      <c r="P68" s="109">
        <f>SUMIFS('Staff Costs'!L:L,'Staff Costs'!B:B,'Summary Staff Costs'!N68,'Staff Costs'!A:A,"Management",'Staff Costs'!G:G,"Technical Staff")</f>
        <v>0</v>
      </c>
      <c r="Q68" s="116">
        <v>0</v>
      </c>
      <c r="R68" s="109">
        <f>SUMIFS('Staff Costs'!L:L,'Staff Costs'!B:B,'Summary Staff Costs'!N68,'Staff Costs'!A:A,"Preparation",'Staff Costs'!G:G,"Technical Staff")</f>
        <v>0</v>
      </c>
      <c r="S68" s="116">
        <v>0</v>
      </c>
      <c r="T68" s="109">
        <f>SUMIFS('Staff Costs'!L:L,'Staff Costs'!B:B,'Summary Staff Costs'!N68,'Staff Costs'!A:A,"Development",'Staff Costs'!G:G,"Technical Staff")</f>
        <v>0</v>
      </c>
      <c r="U68" s="116">
        <v>0</v>
      </c>
      <c r="V68" s="109">
        <f>SUMIFS('Staff Costs'!L:L,'Staff Costs'!B:B,'Summary Staff Costs'!N68,'Staff Costs'!A:A,"Quality Plan",'Staff Costs'!G:G,"Technical Staff")</f>
        <v>0</v>
      </c>
      <c r="W68" s="116">
        <v>0</v>
      </c>
      <c r="X68" s="109">
        <f>SUMIFS('Staff Costs'!L:L,'Staff Costs'!B:B,'Summary Staff Costs'!N68,'Staff Costs'!A:A,"Dissemination &amp; Exploitation",'Staff Costs'!G:G,"Technical Staff")</f>
        <v>0</v>
      </c>
    </row>
    <row r="69" spans="14:24" x14ac:dyDescent="0.25">
      <c r="N69" s="121" t="s">
        <v>86</v>
      </c>
      <c r="O69" s="115">
        <v>0</v>
      </c>
      <c r="P69" s="108">
        <f>SUMIFS('Staff Costs'!L:L,'Staff Costs'!B:B,'Summary Staff Costs'!N69,'Staff Costs'!A:A,"Management",'Staff Costs'!G:G,"Technical Staff")</f>
        <v>0</v>
      </c>
      <c r="Q69" s="115">
        <v>0</v>
      </c>
      <c r="R69" s="108">
        <f>SUMIFS('Staff Costs'!L:L,'Staff Costs'!B:B,'Summary Staff Costs'!N69,'Staff Costs'!A:A,"Preparation",'Staff Costs'!G:G,"Technical Staff")</f>
        <v>0</v>
      </c>
      <c r="S69" s="115">
        <v>0</v>
      </c>
      <c r="T69" s="108">
        <f>SUMIFS('Staff Costs'!L:L,'Staff Costs'!B:B,'Summary Staff Costs'!N69,'Staff Costs'!A:A,"Development",'Staff Costs'!G:G,"Technical Staff")</f>
        <v>0</v>
      </c>
      <c r="U69" s="115">
        <v>0</v>
      </c>
      <c r="V69" s="108">
        <f>SUMIFS('Staff Costs'!L:L,'Staff Costs'!B:B,'Summary Staff Costs'!N69,'Staff Costs'!A:A,"Quality Plan",'Staff Costs'!G:G,"Technical Staff")</f>
        <v>0</v>
      </c>
      <c r="W69" s="115">
        <v>0</v>
      </c>
      <c r="X69" s="108">
        <f>SUMIFS('Staff Costs'!L:L,'Staff Costs'!B:B,'Summary Staff Costs'!N69,'Staff Costs'!A:A,"Dissemination &amp; Exploitation",'Staff Costs'!G:G,"Technical Staff")</f>
        <v>0</v>
      </c>
    </row>
    <row r="70" spans="14:24" ht="15.75" thickBot="1" x14ac:dyDescent="0.3">
      <c r="N70" s="123" t="s">
        <v>113</v>
      </c>
      <c r="O70" s="117">
        <v>0</v>
      </c>
      <c r="P70" s="110">
        <f>SUMIFS('Staff Costs'!L:L,'Staff Costs'!B:B,'Summary Staff Costs'!N70,'Staff Costs'!A:A,"Management",'Staff Costs'!G:G,"Technical Staff")</f>
        <v>0</v>
      </c>
      <c r="Q70" s="117">
        <v>0</v>
      </c>
      <c r="R70" s="110">
        <f>SUMIFS('Staff Costs'!L:L,'Staff Costs'!B:B,'Summary Staff Costs'!N70,'Staff Costs'!A:A,"Preparation",'Staff Costs'!G:G,"Technical Staff")</f>
        <v>0</v>
      </c>
      <c r="S70" s="117">
        <v>0</v>
      </c>
      <c r="T70" s="110">
        <f>SUMIFS('Staff Costs'!L:L,'Staff Costs'!B:B,'Summary Staff Costs'!N70,'Staff Costs'!A:A,"Development",'Staff Costs'!G:G,"Technical Staff")</f>
        <v>0</v>
      </c>
      <c r="U70" s="117">
        <v>0</v>
      </c>
      <c r="V70" s="110">
        <f>SUMIFS('Staff Costs'!L:L,'Staff Costs'!B:B,'Summary Staff Costs'!N70,'Staff Costs'!A:A,"Quality Plan",'Staff Costs'!G:G,"Technical Staff")</f>
        <v>0</v>
      </c>
      <c r="W70" s="117">
        <v>0</v>
      </c>
      <c r="X70" s="110">
        <f>SUMIFS('Staff Costs'!L:L,'Staff Costs'!B:B,'Summary Staff Costs'!N70,'Staff Costs'!A:A,"Dissemination &amp; Exploitation",'Staff Costs'!G:G,"Technical Staff")</f>
        <v>0</v>
      </c>
    </row>
    <row r="71" spans="14:24" ht="16.5" thickTop="1" thickBot="1" x14ac:dyDescent="0.3">
      <c r="N71" s="140"/>
      <c r="O71" s="141">
        <f t="shared" ref="O71:X71" si="6">SUM(O57:O70)</f>
        <v>0</v>
      </c>
      <c r="P71" s="143">
        <f t="shared" si="6"/>
        <v>27</v>
      </c>
      <c r="Q71" s="141">
        <f t="shared" si="6"/>
        <v>10</v>
      </c>
      <c r="R71" s="143">
        <f t="shared" si="6"/>
        <v>23</v>
      </c>
      <c r="S71" s="141">
        <f t="shared" si="6"/>
        <v>0</v>
      </c>
      <c r="T71" s="143">
        <f t="shared" si="6"/>
        <v>16</v>
      </c>
      <c r="U71" s="141">
        <f t="shared" si="6"/>
        <v>0</v>
      </c>
      <c r="V71" s="143">
        <f t="shared" si="6"/>
        <v>0</v>
      </c>
      <c r="W71" s="142">
        <f t="shared" si="6"/>
        <v>140</v>
      </c>
      <c r="X71" s="143">
        <f t="shared" si="6"/>
        <v>49</v>
      </c>
    </row>
    <row r="73" spans="14:24" x14ac:dyDescent="0.25">
      <c r="N73" s="262" t="s">
        <v>798</v>
      </c>
      <c r="O73" s="263"/>
      <c r="P73" s="263"/>
      <c r="Q73" s="263"/>
      <c r="R73" s="263"/>
      <c r="S73" s="263"/>
      <c r="T73" s="263"/>
      <c r="U73" s="263"/>
      <c r="V73" s="263"/>
      <c r="W73" s="263"/>
      <c r="X73" s="264"/>
    </row>
    <row r="74" spans="14:24" x14ac:dyDescent="0.25">
      <c r="N74" s="120"/>
      <c r="O74" s="268" t="s">
        <v>74</v>
      </c>
      <c r="P74" s="269"/>
      <c r="Q74" s="268" t="s">
        <v>23</v>
      </c>
      <c r="R74" s="269"/>
      <c r="S74" s="268" t="s">
        <v>24</v>
      </c>
      <c r="T74" s="269"/>
      <c r="U74" s="268" t="s">
        <v>72</v>
      </c>
      <c r="V74" s="269"/>
      <c r="W74" s="268" t="s">
        <v>143</v>
      </c>
      <c r="X74" s="269"/>
    </row>
    <row r="75" spans="14:24" x14ac:dyDescent="0.25">
      <c r="N75" s="121" t="s">
        <v>51</v>
      </c>
      <c r="O75" s="115">
        <v>90</v>
      </c>
      <c r="P75" s="108">
        <f>SUMIFS('Staff Costs'!L:L,'Staff Costs'!B:B,'Summary Staff Costs'!N75,'Staff Costs'!A:A,"Management",'Staff Costs'!G:G,"Administrative staff")</f>
        <v>54</v>
      </c>
      <c r="Q75" s="115">
        <v>0</v>
      </c>
      <c r="R75" s="108">
        <f>SUMIFS('Staff Costs'!L:L,'Staff Costs'!B:B,'Summary Staff Costs'!N75,'Staff Costs'!A:A,"Preparation",'Staff Costs'!G:G,"Administrative staff")</f>
        <v>0</v>
      </c>
      <c r="S75" s="115">
        <v>10</v>
      </c>
      <c r="T75" s="108">
        <f>SUMIFS('Staff Costs'!L:L,'Staff Costs'!B:B,'Summary Staff Costs'!N75,'Staff Costs'!A:A,"Development",'Staff Costs'!G:G,"Administrative staff")</f>
        <v>3</v>
      </c>
      <c r="U75" s="115">
        <v>30</v>
      </c>
      <c r="V75" s="108">
        <f>SUMIFS('Staff Costs'!L:L,'Staff Costs'!B:B,'Summary Staff Costs'!N75,'Staff Costs'!A:A,"Quality Plan",'Staff Costs'!G:G,"Administrative staff")</f>
        <v>29</v>
      </c>
      <c r="W75" s="115">
        <v>15</v>
      </c>
      <c r="X75" s="108">
        <f>SUMIFS('Staff Costs'!L:L,'Staff Costs'!B:B,'Summary Staff Costs'!N75,'Staff Costs'!A:A,"Dissemination &amp; Exploitation",'Staff Costs'!G:G,"Administrative staff")</f>
        <v>8</v>
      </c>
    </row>
    <row r="76" spans="14:24" x14ac:dyDescent="0.25">
      <c r="N76" s="122" t="s">
        <v>52</v>
      </c>
      <c r="O76" s="116">
        <v>0</v>
      </c>
      <c r="P76" s="109">
        <f>SUMIFS('Staff Costs'!L:L,'Staff Costs'!B:B,'Summary Staff Costs'!N76,'Staff Costs'!A:A,"Management",'Staff Costs'!G:G,"Administrative staff")</f>
        <v>0</v>
      </c>
      <c r="Q76" s="116">
        <v>0</v>
      </c>
      <c r="R76" s="109">
        <f>SUMIFS('Staff Costs'!L:L,'Staff Costs'!B:B,'Summary Staff Costs'!N76,'Staff Costs'!A:A,"Preparation",'Staff Costs'!G:G,"Administrative staff")</f>
        <v>0</v>
      </c>
      <c r="S76" s="116">
        <v>0</v>
      </c>
      <c r="T76" s="109">
        <f>SUMIFS('Staff Costs'!L:L,'Staff Costs'!B:B,'Summary Staff Costs'!N76,'Staff Costs'!A:A,"Development",'Staff Costs'!G:G,"Administrative staff")</f>
        <v>0</v>
      </c>
      <c r="U76" s="116">
        <v>15</v>
      </c>
      <c r="V76" s="109">
        <f>SUMIFS('Staff Costs'!L:L,'Staff Costs'!B:B,'Summary Staff Costs'!N76,'Staff Costs'!A:A,"Quality Plan",'Staff Costs'!G:G,"Administrative staff")</f>
        <v>0</v>
      </c>
      <c r="W76" s="116">
        <v>0</v>
      </c>
      <c r="X76" s="109">
        <f>SUMIFS('Staff Costs'!L:L,'Staff Costs'!B:B,'Summary Staff Costs'!N76,'Staff Costs'!A:A,"Dissemination &amp; Exploitation",'Staff Costs'!G:G,"Administrative staff")</f>
        <v>0</v>
      </c>
    </row>
    <row r="77" spans="14:24" x14ac:dyDescent="0.25">
      <c r="N77" s="121" t="s">
        <v>53</v>
      </c>
      <c r="O77" s="115">
        <v>45</v>
      </c>
      <c r="P77" s="108">
        <f>SUMIFS('Staff Costs'!L:L,'Staff Costs'!B:B,'Summary Staff Costs'!N77,'Staff Costs'!A:A,"Management",'Staff Costs'!G:G,"Administrative staff")</f>
        <v>24</v>
      </c>
      <c r="Q77" s="115">
        <v>0</v>
      </c>
      <c r="R77" s="108">
        <f>SUMIFS('Staff Costs'!L:L,'Staff Costs'!B:B,'Summary Staff Costs'!N77,'Staff Costs'!A:A,"Preparation",'Staff Costs'!G:G,"Administrative staff")</f>
        <v>0</v>
      </c>
      <c r="S77" s="115">
        <v>10</v>
      </c>
      <c r="T77" s="108">
        <f>SUMIFS('Staff Costs'!L:L,'Staff Costs'!B:B,'Summary Staff Costs'!N77,'Staff Costs'!A:A,"Development",'Staff Costs'!G:G,"Administrative staff")</f>
        <v>0</v>
      </c>
      <c r="U77" s="115">
        <v>15</v>
      </c>
      <c r="V77" s="108">
        <f>SUMIFS('Staff Costs'!L:L,'Staff Costs'!B:B,'Summary Staff Costs'!N77,'Staff Costs'!A:A,"Quality Plan",'Staff Costs'!G:G,"Administrative staff")</f>
        <v>15</v>
      </c>
      <c r="W77" s="115">
        <v>0</v>
      </c>
      <c r="X77" s="108">
        <f>SUMIFS('Staff Costs'!L:L,'Staff Costs'!B:B,'Summary Staff Costs'!N77,'Staff Costs'!A:A,"Dissemination &amp; Exploitation",'Staff Costs'!G:G,"Administrative staff")</f>
        <v>0</v>
      </c>
    </row>
    <row r="78" spans="14:24" x14ac:dyDescent="0.25">
      <c r="N78" s="122" t="s">
        <v>54</v>
      </c>
      <c r="O78" s="116">
        <v>45</v>
      </c>
      <c r="P78" s="109">
        <f>SUMIFS('Staff Costs'!L:L,'Staff Costs'!B:B,'Summary Staff Costs'!N78,'Staff Costs'!A:A,"Management",'Staff Costs'!G:G,"Administrative staff")</f>
        <v>24</v>
      </c>
      <c r="Q78" s="116">
        <v>0</v>
      </c>
      <c r="R78" s="109">
        <f>SUMIFS('Staff Costs'!L:L,'Staff Costs'!B:B,'Summary Staff Costs'!N78,'Staff Costs'!A:A,"Preparation",'Staff Costs'!G:G,"Administrative staff")</f>
        <v>0</v>
      </c>
      <c r="S78" s="116">
        <v>0</v>
      </c>
      <c r="T78" s="109">
        <f>SUMIFS('Staff Costs'!L:L,'Staff Costs'!B:B,'Summary Staff Costs'!N78,'Staff Costs'!A:A,"Development",'Staff Costs'!G:G,"Administrative staff")</f>
        <v>0</v>
      </c>
      <c r="U78" s="116">
        <v>15</v>
      </c>
      <c r="V78" s="109">
        <f>SUMIFS('Staff Costs'!L:L,'Staff Costs'!B:B,'Summary Staff Costs'!N78,'Staff Costs'!A:A,"Quality Plan",'Staff Costs'!G:G,"Administrative staff")</f>
        <v>5</v>
      </c>
      <c r="W78" s="116">
        <v>13</v>
      </c>
      <c r="X78" s="109">
        <f>SUMIFS('Staff Costs'!L:L,'Staff Costs'!B:B,'Summary Staff Costs'!N78,'Staff Costs'!A:A,"Dissemination &amp; Exploitation",'Staff Costs'!G:G,"Administrative staff")</f>
        <v>12</v>
      </c>
    </row>
    <row r="79" spans="14:24" x14ac:dyDescent="0.25">
      <c r="N79" s="121" t="s">
        <v>55</v>
      </c>
      <c r="O79" s="115">
        <v>45</v>
      </c>
      <c r="P79" s="108">
        <f>SUMIFS('Staff Costs'!L:L,'Staff Costs'!B:B,'Summary Staff Costs'!N79,'Staff Costs'!A:A,"Management",'Staff Costs'!G:G,"Administrative staff")</f>
        <v>43</v>
      </c>
      <c r="Q79" s="115">
        <v>0</v>
      </c>
      <c r="R79" s="108">
        <f>SUMIFS('Staff Costs'!L:L,'Staff Costs'!B:B,'Summary Staff Costs'!N79,'Staff Costs'!A:A,"Preparation",'Staff Costs'!G:G,"Administrative staff")</f>
        <v>0</v>
      </c>
      <c r="S79" s="115">
        <v>0</v>
      </c>
      <c r="T79" s="108">
        <f>SUMIFS('Staff Costs'!L:L,'Staff Costs'!B:B,'Summary Staff Costs'!N79,'Staff Costs'!A:A,"Development",'Staff Costs'!G:G,"Administrative staff")</f>
        <v>8</v>
      </c>
      <c r="U79" s="115">
        <v>15</v>
      </c>
      <c r="V79" s="108">
        <f>SUMIFS('Staff Costs'!L:L,'Staff Costs'!B:B,'Summary Staff Costs'!N79,'Staff Costs'!A:A,"Quality Plan",'Staff Costs'!G:G,"Administrative staff")</f>
        <v>3</v>
      </c>
      <c r="W79" s="115">
        <v>10</v>
      </c>
      <c r="X79" s="108">
        <f>SUMIFS('Staff Costs'!L:L,'Staff Costs'!B:B,'Summary Staff Costs'!N79,'Staff Costs'!A:A,"Dissemination &amp; Exploitation",'Staff Costs'!G:G,"Administrative staff")</f>
        <v>2</v>
      </c>
    </row>
    <row r="80" spans="14:24" x14ac:dyDescent="0.25">
      <c r="N80" s="122" t="s">
        <v>56</v>
      </c>
      <c r="O80" s="116">
        <v>45</v>
      </c>
      <c r="P80" s="109">
        <f>SUMIFS('Staff Costs'!L:L,'Staff Costs'!B:B,'Summary Staff Costs'!N80,'Staff Costs'!A:A,"Management",'Staff Costs'!G:G,"Administrative staff")</f>
        <v>17</v>
      </c>
      <c r="Q80" s="116">
        <v>0</v>
      </c>
      <c r="R80" s="109">
        <f>SUMIFS('Staff Costs'!L:L,'Staff Costs'!B:B,'Summary Staff Costs'!N80,'Staff Costs'!A:A,"Preparation",'Staff Costs'!G:G,"Administrative staff")</f>
        <v>29</v>
      </c>
      <c r="S80" s="116">
        <v>10</v>
      </c>
      <c r="T80" s="109">
        <f>SUMIFS('Staff Costs'!L:L,'Staff Costs'!B:B,'Summary Staff Costs'!N80,'Staff Costs'!A:A,"Development",'Staff Costs'!G:G,"Administrative staff")</f>
        <v>18</v>
      </c>
      <c r="U80" s="116">
        <v>15</v>
      </c>
      <c r="V80" s="109">
        <f>SUMIFS('Staff Costs'!L:L,'Staff Costs'!B:B,'Summary Staff Costs'!N80,'Staff Costs'!A:A,"Quality Plan",'Staff Costs'!G:G,"Administrative staff")</f>
        <v>8</v>
      </c>
      <c r="W80" s="116">
        <v>80</v>
      </c>
      <c r="X80" s="109">
        <f>SUMIFS('Staff Costs'!L:L,'Staff Costs'!B:B,'Summary Staff Costs'!N80,'Staff Costs'!A:A,"Dissemination &amp; Exploitation",'Staff Costs'!G:G,"Administrative staff")</f>
        <v>40</v>
      </c>
    </row>
    <row r="81" spans="14:24" x14ac:dyDescent="0.25">
      <c r="N81" s="121" t="s">
        <v>57</v>
      </c>
      <c r="O81" s="115">
        <v>30</v>
      </c>
      <c r="P81" s="108">
        <f>SUMIFS('Staff Costs'!L:L,'Staff Costs'!B:B,'Summary Staff Costs'!N81,'Staff Costs'!A:A,"Management",'Staff Costs'!G:G,"Administrative staff")</f>
        <v>4</v>
      </c>
      <c r="Q81" s="115">
        <v>0</v>
      </c>
      <c r="R81" s="108">
        <f>SUMIFS('Staff Costs'!L:L,'Staff Costs'!B:B,'Summary Staff Costs'!N81,'Staff Costs'!A:A,"Preparation",'Staff Costs'!G:G,"Administrative staff")</f>
        <v>0</v>
      </c>
      <c r="S81" s="115">
        <v>0</v>
      </c>
      <c r="T81" s="108">
        <f>SUMIFS('Staff Costs'!L:L,'Staff Costs'!B:B,'Summary Staff Costs'!N81,'Staff Costs'!A:A,"Development",'Staff Costs'!G:G,"Administrative staff")</f>
        <v>6</v>
      </c>
      <c r="U81" s="115">
        <v>15</v>
      </c>
      <c r="V81" s="108">
        <f>SUMIFS('Staff Costs'!L:L,'Staff Costs'!B:B,'Summary Staff Costs'!N81,'Staff Costs'!A:A,"Quality Plan",'Staff Costs'!G:G,"Administrative staff")</f>
        <v>0</v>
      </c>
      <c r="W81" s="115">
        <v>10</v>
      </c>
      <c r="X81" s="108">
        <f>SUMIFS('Staff Costs'!L:L,'Staff Costs'!B:B,'Summary Staff Costs'!N81,'Staff Costs'!A:A,"Dissemination &amp; Exploitation",'Staff Costs'!G:G,"Administrative staff")</f>
        <v>6</v>
      </c>
    </row>
    <row r="82" spans="14:24" x14ac:dyDescent="0.25">
      <c r="N82" s="122" t="s">
        <v>58</v>
      </c>
      <c r="O82" s="116">
        <v>30</v>
      </c>
      <c r="P82" s="109">
        <f>SUMIFS('Staff Costs'!L:L,'Staff Costs'!B:B,'Summary Staff Costs'!N82,'Staff Costs'!A:A,"Management",'Staff Costs'!G:G,"Administrative staff")</f>
        <v>19</v>
      </c>
      <c r="Q82" s="116">
        <v>0</v>
      </c>
      <c r="R82" s="109">
        <f>SUMIFS('Staff Costs'!L:L,'Staff Costs'!B:B,'Summary Staff Costs'!N82,'Staff Costs'!A:A,"Preparation",'Staff Costs'!G:G,"Administrative staff")</f>
        <v>1</v>
      </c>
      <c r="S82" s="116">
        <v>0</v>
      </c>
      <c r="T82" s="109">
        <f>SUMIFS('Staff Costs'!L:L,'Staff Costs'!B:B,'Summary Staff Costs'!N82,'Staff Costs'!A:A,"Development",'Staff Costs'!G:G,"Administrative staff")</f>
        <v>8</v>
      </c>
      <c r="U82" s="116">
        <v>15</v>
      </c>
      <c r="V82" s="109">
        <f>SUMIFS('Staff Costs'!L:L,'Staff Costs'!B:B,'Summary Staff Costs'!N82,'Staff Costs'!A:A,"Quality Plan",'Staff Costs'!G:G,"Administrative staff")</f>
        <v>2</v>
      </c>
      <c r="W82" s="116">
        <v>10</v>
      </c>
      <c r="X82" s="109">
        <f>SUMIFS('Staff Costs'!L:L,'Staff Costs'!B:B,'Summary Staff Costs'!N82,'Staff Costs'!A:A,"Dissemination &amp; Exploitation",'Staff Costs'!G:G,"Administrative staff")</f>
        <v>14</v>
      </c>
    </row>
    <row r="83" spans="14:24" x14ac:dyDescent="0.25">
      <c r="N83" s="121" t="s">
        <v>59</v>
      </c>
      <c r="O83" s="115">
        <v>45</v>
      </c>
      <c r="P83" s="108">
        <f>SUMIFS('Staff Costs'!L:L,'Staff Costs'!B:B,'Summary Staff Costs'!N83,'Staff Costs'!A:A,"Management",'Staff Costs'!G:G,"Administrative staff")</f>
        <v>30</v>
      </c>
      <c r="Q83" s="115">
        <v>0</v>
      </c>
      <c r="R83" s="108">
        <f>SUMIFS('Staff Costs'!L:L,'Staff Costs'!B:B,'Summary Staff Costs'!N83,'Staff Costs'!A:A,"Preparation",'Staff Costs'!G:G,"Administrative staff")</f>
        <v>0</v>
      </c>
      <c r="S83" s="115">
        <v>25</v>
      </c>
      <c r="T83" s="108">
        <f>SUMIFS('Staff Costs'!L:L,'Staff Costs'!B:B,'Summary Staff Costs'!N83,'Staff Costs'!A:A,"Development",'Staff Costs'!G:G,"Administrative staff")</f>
        <v>19</v>
      </c>
      <c r="U83" s="115">
        <v>15</v>
      </c>
      <c r="V83" s="108">
        <f>SUMIFS('Staff Costs'!L:L,'Staff Costs'!B:B,'Summary Staff Costs'!N83,'Staff Costs'!A:A,"Quality Plan",'Staff Costs'!G:G,"Administrative staff")</f>
        <v>8</v>
      </c>
      <c r="W83" s="115">
        <v>10</v>
      </c>
      <c r="X83" s="108">
        <f>SUMIFS('Staff Costs'!L:L,'Staff Costs'!B:B,'Summary Staff Costs'!N83,'Staff Costs'!A:A,"Dissemination &amp; Exploitation",'Staff Costs'!G:G,"Administrative staff")</f>
        <v>7</v>
      </c>
    </row>
    <row r="84" spans="14:24" x14ac:dyDescent="0.25">
      <c r="N84" s="122" t="s">
        <v>60</v>
      </c>
      <c r="O84" s="116">
        <v>45</v>
      </c>
      <c r="P84" s="109">
        <f>SUMIFS('Staff Costs'!L:L,'Staff Costs'!B:B,'Summary Staff Costs'!N84,'Staff Costs'!A:A,"Management",'Staff Costs'!G:G,"Administrative staff")</f>
        <v>23</v>
      </c>
      <c r="Q84" s="116">
        <v>0</v>
      </c>
      <c r="R84" s="109">
        <f>SUMIFS('Staff Costs'!L:L,'Staff Costs'!B:B,'Summary Staff Costs'!N84,'Staff Costs'!A:A,"Preparation",'Staff Costs'!G:G,"Administrative staff")</f>
        <v>0</v>
      </c>
      <c r="S84" s="116">
        <v>0</v>
      </c>
      <c r="T84" s="109">
        <f>SUMIFS('Staff Costs'!L:L,'Staff Costs'!B:B,'Summary Staff Costs'!N84,'Staff Costs'!A:A,"Development",'Staff Costs'!G:G,"Administrative staff")</f>
        <v>0</v>
      </c>
      <c r="U84" s="116">
        <v>15</v>
      </c>
      <c r="V84" s="109">
        <f>SUMIFS('Staff Costs'!L:L,'Staff Costs'!B:B,'Summary Staff Costs'!N84,'Staff Costs'!A:A,"Quality Plan",'Staff Costs'!G:G,"Administrative staff")</f>
        <v>3</v>
      </c>
      <c r="W84" s="116">
        <v>10</v>
      </c>
      <c r="X84" s="109">
        <f>SUMIFS('Staff Costs'!L:L,'Staff Costs'!B:B,'Summary Staff Costs'!N84,'Staff Costs'!A:A,"Dissemination &amp; Exploitation",'Staff Costs'!G:G,"Administrative staff")</f>
        <v>6</v>
      </c>
    </row>
    <row r="85" spans="14:24" x14ac:dyDescent="0.25">
      <c r="N85" s="121" t="s">
        <v>61</v>
      </c>
      <c r="O85" s="115">
        <v>45</v>
      </c>
      <c r="P85" s="108">
        <f>SUMIFS('Staff Costs'!L:L,'Staff Costs'!B:B,'Summary Staff Costs'!N85,'Staff Costs'!A:A,"Management",'Staff Costs'!G:G,"Administrative staff")</f>
        <v>16</v>
      </c>
      <c r="Q85" s="115">
        <v>0</v>
      </c>
      <c r="R85" s="108">
        <f>SUMIFS('Staff Costs'!L:L,'Staff Costs'!B:B,'Summary Staff Costs'!N85,'Staff Costs'!A:A,"Preparation",'Staff Costs'!G:G,"Administrative staff")</f>
        <v>11</v>
      </c>
      <c r="S85" s="115">
        <v>30</v>
      </c>
      <c r="T85" s="108">
        <f>SUMIFS('Staff Costs'!L:L,'Staff Costs'!B:B,'Summary Staff Costs'!N85,'Staff Costs'!A:A,"Development",'Staff Costs'!G:G,"Administrative staff")</f>
        <v>45</v>
      </c>
      <c r="U85" s="115">
        <v>15</v>
      </c>
      <c r="V85" s="108">
        <f>SUMIFS('Staff Costs'!L:L,'Staff Costs'!B:B,'Summary Staff Costs'!N85,'Staff Costs'!A:A,"Quality Plan",'Staff Costs'!G:G,"Administrative staff")</f>
        <v>2</v>
      </c>
      <c r="W85" s="115">
        <v>10</v>
      </c>
      <c r="X85" s="108">
        <f>SUMIFS('Staff Costs'!L:L,'Staff Costs'!B:B,'Summary Staff Costs'!N85,'Staff Costs'!A:A,"Dissemination &amp; Exploitation",'Staff Costs'!G:G,"Administrative staff")</f>
        <v>3</v>
      </c>
    </row>
    <row r="86" spans="14:24" x14ac:dyDescent="0.25">
      <c r="N86" s="122" t="s">
        <v>62</v>
      </c>
      <c r="O86" s="116">
        <v>0</v>
      </c>
      <c r="P86" s="109">
        <f>SUMIFS('Staff Costs'!L:L,'Staff Costs'!B:B,'Summary Staff Costs'!N86,'Staff Costs'!A:A,"Management",'Staff Costs'!G:G,"Administrative staff")</f>
        <v>0</v>
      </c>
      <c r="Q86" s="116">
        <v>0</v>
      </c>
      <c r="R86" s="109">
        <f>SUMIFS('Staff Costs'!L:L,'Staff Costs'!B:B,'Summary Staff Costs'!N86,'Staff Costs'!A:A,"Preparation",'Staff Costs'!G:G,"Administrative staff")</f>
        <v>0</v>
      </c>
      <c r="S86" s="116">
        <v>0</v>
      </c>
      <c r="T86" s="109">
        <f>SUMIFS('Staff Costs'!L:L,'Staff Costs'!B:B,'Summary Staff Costs'!N86,'Staff Costs'!A:A,"Development",'Staff Costs'!G:G,"Administrative staff")</f>
        <v>0</v>
      </c>
      <c r="U86" s="116">
        <v>0</v>
      </c>
      <c r="V86" s="109">
        <f>SUMIFS('Staff Costs'!L:L,'Staff Costs'!B:B,'Summary Staff Costs'!N86,'Staff Costs'!A:A,"Quality Plan",'Staff Costs'!G:G,"Administrative staff")</f>
        <v>0</v>
      </c>
      <c r="W86" s="116">
        <v>0</v>
      </c>
      <c r="X86" s="109">
        <f>SUMIFS('Staff Costs'!L:L,'Staff Costs'!B:B,'Summary Staff Costs'!N86,'Staff Costs'!A:A,"Dissemination &amp; Exploitation",'Staff Costs'!G:G,"Administrative staff")</f>
        <v>0</v>
      </c>
    </row>
    <row r="87" spans="14:24" x14ac:dyDescent="0.25">
      <c r="N87" s="121" t="s">
        <v>86</v>
      </c>
      <c r="O87" s="115">
        <v>0</v>
      </c>
      <c r="P87" s="108">
        <f>SUMIFS('Staff Costs'!L:L,'Staff Costs'!B:B,'Summary Staff Costs'!N87,'Staff Costs'!A:A,"Management",'Staff Costs'!G:G,"Administrative staff")</f>
        <v>0</v>
      </c>
      <c r="Q87" s="115">
        <v>0</v>
      </c>
      <c r="R87" s="108">
        <f>SUMIFS('Staff Costs'!L:L,'Staff Costs'!B:B,'Summary Staff Costs'!N87,'Staff Costs'!A:A,"Preparation",'Staff Costs'!G:G,"Administrative staff")</f>
        <v>0</v>
      </c>
      <c r="S87" s="115">
        <v>0</v>
      </c>
      <c r="T87" s="108">
        <f>SUMIFS('Staff Costs'!L:L,'Staff Costs'!B:B,'Summary Staff Costs'!N87,'Staff Costs'!A:A,"Development",'Staff Costs'!G:G,"Administrative staff")</f>
        <v>0</v>
      </c>
      <c r="U87" s="115">
        <v>0</v>
      </c>
      <c r="V87" s="108">
        <f>SUMIFS('Staff Costs'!L:L,'Staff Costs'!B:B,'Summary Staff Costs'!N87,'Staff Costs'!A:A,"Quality Plan",'Staff Costs'!G:G,"Administrative staff")</f>
        <v>0</v>
      </c>
      <c r="W87" s="115">
        <v>0</v>
      </c>
      <c r="X87" s="108">
        <f>SUMIFS('Staff Costs'!L:L,'Staff Costs'!B:B,'Summary Staff Costs'!N87,'Staff Costs'!A:A,"Dissemination &amp; Exploitation",'Staff Costs'!G:G,"Administrative staff")</f>
        <v>0</v>
      </c>
    </row>
    <row r="88" spans="14:24" ht="15.75" thickBot="1" x14ac:dyDescent="0.3">
      <c r="N88" s="123" t="s">
        <v>113</v>
      </c>
      <c r="O88" s="117">
        <v>0</v>
      </c>
      <c r="P88" s="110">
        <f>SUMIFS('Staff Costs'!L:L,'Staff Costs'!B:B,'Summary Staff Costs'!N88,'Staff Costs'!A:A,"Management",'Staff Costs'!G:G,"Administrative staff")</f>
        <v>0</v>
      </c>
      <c r="Q88" s="117">
        <v>0</v>
      </c>
      <c r="R88" s="110">
        <f>SUMIFS('Staff Costs'!L:L,'Staff Costs'!B:B,'Summary Staff Costs'!N88,'Staff Costs'!A:A,"Preparation",'Staff Costs'!G:G,"Administrative staff")</f>
        <v>0</v>
      </c>
      <c r="S88" s="117">
        <v>0</v>
      </c>
      <c r="T88" s="110">
        <f>SUMIFS('Staff Costs'!L:L,'Staff Costs'!B:B,'Summary Staff Costs'!N88,'Staff Costs'!A:A,"Development",'Staff Costs'!G:G,"Administrative staff")</f>
        <v>0</v>
      </c>
      <c r="U88" s="117">
        <v>0</v>
      </c>
      <c r="V88" s="110">
        <f>SUMIFS('Staff Costs'!L:L,'Staff Costs'!B:B,'Summary Staff Costs'!N88,'Staff Costs'!A:A,"Quality Plan",'Staff Costs'!G:G,"Administrative staff")</f>
        <v>0</v>
      </c>
      <c r="W88" s="117">
        <v>0</v>
      </c>
      <c r="X88" s="110">
        <f>SUMIFS('Staff Costs'!L:L,'Staff Costs'!B:B,'Summary Staff Costs'!N88,'Staff Costs'!A:A,"Dissemination &amp; Exploitation",'Staff Costs'!G:G,"Administrative staff")</f>
        <v>0</v>
      </c>
    </row>
    <row r="89" spans="14:24" ht="16.5" thickTop="1" thickBot="1" x14ac:dyDescent="0.3">
      <c r="N89" s="140"/>
      <c r="O89" s="141">
        <f t="shared" ref="O89:X89" si="7">SUM(O75:O88)</f>
        <v>465</v>
      </c>
      <c r="P89" s="143">
        <f t="shared" si="7"/>
        <v>254</v>
      </c>
      <c r="Q89" s="141">
        <f t="shared" si="7"/>
        <v>0</v>
      </c>
      <c r="R89" s="143">
        <f t="shared" si="7"/>
        <v>41</v>
      </c>
      <c r="S89" s="141">
        <f t="shared" si="7"/>
        <v>85</v>
      </c>
      <c r="T89" s="143">
        <f t="shared" si="7"/>
        <v>107</v>
      </c>
      <c r="U89" s="141">
        <f t="shared" si="7"/>
        <v>180</v>
      </c>
      <c r="V89" s="143">
        <f t="shared" si="7"/>
        <v>75</v>
      </c>
      <c r="W89" s="142">
        <f t="shared" si="7"/>
        <v>168</v>
      </c>
      <c r="X89" s="143">
        <f t="shared" si="7"/>
        <v>98</v>
      </c>
    </row>
  </sheetData>
  <mergeCells count="35">
    <mergeCell ref="Q74:R74"/>
    <mergeCell ref="S74:T74"/>
    <mergeCell ref="U74:V74"/>
    <mergeCell ref="W74:X74"/>
    <mergeCell ref="N55:X55"/>
    <mergeCell ref="N73:X73"/>
    <mergeCell ref="O74:P74"/>
    <mergeCell ref="O56:P56"/>
    <mergeCell ref="Q56:R56"/>
    <mergeCell ref="S56:T56"/>
    <mergeCell ref="U56:V56"/>
    <mergeCell ref="W56:X56"/>
    <mergeCell ref="O38:P38"/>
    <mergeCell ref="Q38:R38"/>
    <mergeCell ref="S38:T38"/>
    <mergeCell ref="U38:V38"/>
    <mergeCell ref="O2:P2"/>
    <mergeCell ref="Q2:R2"/>
    <mergeCell ref="S2:T2"/>
    <mergeCell ref="U2:V2"/>
    <mergeCell ref="W38:X38"/>
    <mergeCell ref="Q20:R20"/>
    <mergeCell ref="S20:T20"/>
    <mergeCell ref="U20:V20"/>
    <mergeCell ref="W20:X20"/>
    <mergeCell ref="N1:X1"/>
    <mergeCell ref="A1:L1"/>
    <mergeCell ref="N19:X19"/>
    <mergeCell ref="N37:X37"/>
    <mergeCell ref="B2:C2"/>
    <mergeCell ref="D2:E2"/>
    <mergeCell ref="F2:G2"/>
    <mergeCell ref="H2:I2"/>
    <mergeCell ref="O20:P20"/>
    <mergeCell ref="W2:X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Overview</vt:lpstr>
      <vt:lpstr>Staff Costs</vt:lpstr>
      <vt:lpstr>Travel&amp;Costs of Stay</vt:lpstr>
      <vt:lpstr>Equipment</vt:lpstr>
      <vt:lpstr>Subcontracting</vt:lpstr>
      <vt:lpstr>Data</vt:lpstr>
      <vt:lpstr>Summary Staff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bsemp</dc:creator>
  <cp:lastModifiedBy>sausmanager</cp:lastModifiedBy>
  <dcterms:created xsi:type="dcterms:W3CDTF">2018-04-19T20:18:23Z</dcterms:created>
  <dcterms:modified xsi:type="dcterms:W3CDTF">2022-02-14T12:11:20Z</dcterms:modified>
</cp:coreProperties>
</file>